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Quart cons spec" sheetId="1" r:id="rId1"/>
  </sheets>
  <definedNames>
    <definedName name="_xlnm.Print_Area" localSheetId="0">'Quart cons spec'!$A$1:$Q$71</definedName>
    <definedName name="_xlnm.Print_Titles" localSheetId="0">'Quart cons spec'!$1:$5</definedName>
  </definedNames>
  <calcPr fullCalcOnLoad="1"/>
</workbook>
</file>

<file path=xl/sharedStrings.xml><?xml version="1.0" encoding="utf-8"?>
<sst xmlns="http://schemas.openxmlformats.org/spreadsheetml/2006/main" count="70" uniqueCount="61">
  <si>
    <t>CONS</t>
  </si>
  <si>
    <t>D</t>
  </si>
  <si>
    <t>SU PRC2</t>
  </si>
  <si>
    <t>SERVIZI SOCIO ASSISTENZIALI</t>
  </si>
  <si>
    <t>Case protette e RSA</t>
  </si>
  <si>
    <t>Assistenza domiciliare</t>
  </si>
  <si>
    <t>Centri diurni</t>
  </si>
  <si>
    <t>Telesoccorso</t>
  </si>
  <si>
    <t>Buoni mensa</t>
  </si>
  <si>
    <t>Altri servizi socio-assistenziali</t>
  </si>
  <si>
    <t>Progetto integrato scuola dell'infanzia</t>
  </si>
  <si>
    <t>Estate in città</t>
  </si>
  <si>
    <t>Trasporto (mezzi)</t>
  </si>
  <si>
    <t xml:space="preserve">Assistenza alunni con handicap </t>
  </si>
  <si>
    <t>Servizi integrativi</t>
  </si>
  <si>
    <t>SPORT / CULTURA E GIOVANI</t>
  </si>
  <si>
    <t>Biblioteche</t>
  </si>
  <si>
    <t>Giovani</t>
  </si>
  <si>
    <t>TOTALE QUARTIERI</t>
  </si>
  <si>
    <t>TOTALE  QUARTIERI</t>
  </si>
  <si>
    <t>****</t>
  </si>
  <si>
    <t xml:space="preserve">QUARTIERI AGGREGATI </t>
  </si>
  <si>
    <t>Reimpiego Contributo Bologna 2000</t>
  </si>
  <si>
    <t>Reimpiego contr. Stato minori a rischio</t>
  </si>
  <si>
    <t>Reimpiego contr. Comm. Europea - 1</t>
  </si>
  <si>
    <t>Reimpiego contr. Comm. Europea - 2</t>
  </si>
  <si>
    <t>Reimpiego contr. Bologna 2000 progetto educ. Pace</t>
  </si>
  <si>
    <t>Contributo della regione Q.re Reno</t>
  </si>
  <si>
    <t>Reimpiego contributo regionale per i nomadi</t>
  </si>
  <si>
    <t>Vacanze anziani</t>
  </si>
  <si>
    <t>Premio letterario Navile (contro entrata)</t>
  </si>
  <si>
    <t>Aiuti all'autonomia</t>
  </si>
  <si>
    <t>Contributo Bologna 2000 (S.Donato)</t>
  </si>
  <si>
    <t>INDICE INFLAZIONE</t>
  </si>
  <si>
    <t>INDICE CONSUMI SPECIFICI</t>
  </si>
  <si>
    <t xml:space="preserve">Case di riposo </t>
  </si>
  <si>
    <t>Libere Forme Associative</t>
  </si>
  <si>
    <t>Nomadi</t>
  </si>
  <si>
    <t>Incarichi professionali</t>
  </si>
  <si>
    <t>Attività promozionali</t>
  </si>
  <si>
    <t>Costi di servizio-Direzione</t>
  </si>
  <si>
    <t>COORDINAMENTO SERVIZI SCOLASTICI</t>
  </si>
  <si>
    <t>Costi di servizio</t>
  </si>
  <si>
    <t>SCUOLA DELL'INFANZIA</t>
  </si>
  <si>
    <t>Costi di servizio-scuola infanzia</t>
  </si>
  <si>
    <t>DIRITTO ALLO STUDIO E ALTRE STRUTTURE EDUCATIVE</t>
  </si>
  <si>
    <t>Trasporto individuale</t>
  </si>
  <si>
    <t>Trasporto collettivo scolastico</t>
  </si>
  <si>
    <t>Iniziative di supporto</t>
  </si>
  <si>
    <t>Sport</t>
  </si>
  <si>
    <t>Attività culturali</t>
  </si>
  <si>
    <t>Adolescenti -San Donato</t>
  </si>
  <si>
    <t>QUARTIERI CONSUMI SPECIFICI: SERIE STORICA (1998- 2006)</t>
  </si>
  <si>
    <t>1: 107 estate in città handicap, 101 prestazioni professionali e contributi vari, 14 acquisto beni durevoli.</t>
  </si>
  <si>
    <t>2: 322 estate in città fascia grandi, 66 centro diurno di Savena in convenzione, 53 sperimentazioni assistenza domiciliare, 88 contributi vari ed altro.</t>
  </si>
  <si>
    <t>3: 543 estate in città grandi, 196 centro diurno Savena, 64 sperimentazioni assistenza domiciliare, 62 convenzioni CAF, 58 Piano Offerta Formativa, 29 altro.</t>
  </si>
  <si>
    <t>4: di cui 132 per strumentazione e arredi nuovi urp di quartiere</t>
  </si>
  <si>
    <t>5: 394 per passaggio a convenzione di nuovi impianti sportivi nei quartieri, 131 centro diurno di Savena, 83 estate in città 12-14 anni, 51 CAF, 33 altro.</t>
  </si>
  <si>
    <t>DIREZIONE, AFFARI GENERALI E ISTITUZIONALI</t>
  </si>
  <si>
    <t>TOTALE CONSUMI  SPECIFICI</t>
  </si>
  <si>
    <t>COORDINAMENTO AMMINISTRATIVO QUARTIERI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</si>
</sst>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"/>
    <numFmt numFmtId="173" formatCode="#,##0.000"/>
    <numFmt numFmtId="174" formatCode="\(0\)"/>
  </numFmts>
  <fonts count="6">
    <font>
      <sz val="10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10"/>
      <name val="Symbol"/>
      <family val="1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3" fontId="5" fillId="0" borderId="5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6" xfId="0" applyNumberFormat="1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5" fillId="0" borderId="9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3" fontId="3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centerContinuous"/>
    </xf>
    <xf numFmtId="3" fontId="3" fillId="0" borderId="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3" fontId="3" fillId="0" borderId="6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2" fillId="0" borderId="13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174" fontId="3" fillId="0" borderId="12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3" fillId="0" borderId="4" xfId="0" applyFont="1" applyBorder="1" applyAlignment="1">
      <alignment/>
    </xf>
    <xf numFmtId="3" fontId="3" fillId="0" borderId="9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 quotePrefix="1">
      <alignment horizontal="left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2"/>
  <sheetViews>
    <sheetView tabSelected="1" workbookViewId="0" topLeftCell="A46">
      <selection activeCell="A61" sqref="A61"/>
    </sheetView>
  </sheetViews>
  <sheetFormatPr defaultColWidth="9.140625" defaultRowHeight="12.75"/>
  <cols>
    <col min="1" max="1" width="40.7109375" style="0" customWidth="1"/>
    <col min="2" max="2" width="5.7109375" style="0" bestFit="1" customWidth="1"/>
    <col min="3" max="3" width="4.8515625" style="4" bestFit="1" customWidth="1"/>
    <col min="4" max="4" width="5.7109375" style="0" bestFit="1" customWidth="1"/>
    <col min="5" max="5" width="4.8515625" style="0" bestFit="1" customWidth="1"/>
    <col min="6" max="6" width="5.7109375" style="0" bestFit="1" customWidth="1"/>
    <col min="7" max="7" width="4.8515625" style="0" bestFit="1" customWidth="1"/>
    <col min="8" max="8" width="5.7109375" style="0" bestFit="1" customWidth="1"/>
    <col min="9" max="9" width="4.8515625" style="0" bestFit="1" customWidth="1"/>
    <col min="10" max="10" width="6.57421875" style="0" customWidth="1"/>
    <col min="11" max="11" width="4.8515625" style="0" bestFit="1" customWidth="1"/>
    <col min="12" max="12" width="5.7109375" style="0" bestFit="1" customWidth="1"/>
    <col min="13" max="13" width="4.8515625" style="0" bestFit="1" customWidth="1"/>
    <col min="14" max="14" width="5.7109375" style="0" bestFit="1" customWidth="1"/>
    <col min="15" max="15" width="4.8515625" style="0" bestFit="1" customWidth="1"/>
    <col min="16" max="16" width="5.7109375" style="0" customWidth="1"/>
    <col min="17" max="17" width="4.8515625" style="0" customWidth="1"/>
    <col min="18" max="18" width="5.7109375" style="0" customWidth="1"/>
    <col min="19" max="19" width="4.8515625" style="0" customWidth="1"/>
  </cols>
  <sheetData>
    <row r="1" spans="1:7" ht="15">
      <c r="A1" s="1" t="s">
        <v>52</v>
      </c>
      <c r="B1" s="41"/>
      <c r="C1" s="41"/>
      <c r="D1" s="41"/>
      <c r="E1" s="41"/>
      <c r="F1" s="41"/>
      <c r="G1" s="41"/>
    </row>
    <row r="2" spans="1:43" ht="12.75">
      <c r="A2" s="43"/>
      <c r="AQ2">
        <f>6+14+2+4+6+16+10+14+6</f>
        <v>78</v>
      </c>
    </row>
    <row r="3" ht="6" customHeight="1">
      <c r="A3" s="2"/>
    </row>
    <row r="4" spans="1:42" ht="12.75">
      <c r="A4" s="5"/>
      <c r="B4" s="7" t="s">
        <v>0</v>
      </c>
      <c r="C4" s="6"/>
      <c r="D4" s="7" t="s">
        <v>0</v>
      </c>
      <c r="E4" s="6"/>
      <c r="F4" s="7" t="s">
        <v>0</v>
      </c>
      <c r="G4" s="6"/>
      <c r="H4" s="7" t="s">
        <v>0</v>
      </c>
      <c r="I4" s="6"/>
      <c r="J4" s="7" t="s">
        <v>0</v>
      </c>
      <c r="K4" s="6"/>
      <c r="L4" s="7" t="s">
        <v>0</v>
      </c>
      <c r="M4" s="6"/>
      <c r="N4" s="7" t="s">
        <v>0</v>
      </c>
      <c r="O4" s="6"/>
      <c r="P4" s="7" t="s">
        <v>0</v>
      </c>
      <c r="Q4" s="6"/>
      <c r="R4" s="7" t="s">
        <v>0</v>
      </c>
      <c r="S4" s="6"/>
      <c r="AO4" s="9" t="s">
        <v>1</v>
      </c>
      <c r="AP4" s="8"/>
    </row>
    <row r="5" spans="1:42" ht="12.75">
      <c r="A5" s="56"/>
      <c r="B5" s="35">
        <v>1998</v>
      </c>
      <c r="C5" s="10"/>
      <c r="D5" s="35">
        <v>1999</v>
      </c>
      <c r="E5" s="10"/>
      <c r="F5" s="35">
        <v>2000</v>
      </c>
      <c r="G5" s="10"/>
      <c r="H5" s="35">
        <v>2001</v>
      </c>
      <c r="I5" s="10"/>
      <c r="J5" s="35">
        <v>2002</v>
      </c>
      <c r="K5" s="10"/>
      <c r="L5" s="35">
        <v>2003</v>
      </c>
      <c r="M5" s="10"/>
      <c r="N5" s="35">
        <v>2004</v>
      </c>
      <c r="O5" s="10"/>
      <c r="P5" s="35">
        <v>2005</v>
      </c>
      <c r="Q5" s="10"/>
      <c r="R5" s="35">
        <v>2006</v>
      </c>
      <c r="S5" s="10"/>
      <c r="AO5" s="11" t="s">
        <v>2</v>
      </c>
      <c r="AP5" s="12"/>
    </row>
    <row r="6" spans="1:42" ht="12.75">
      <c r="A6" s="13" t="s">
        <v>18</v>
      </c>
      <c r="B6" s="14"/>
      <c r="C6" s="36"/>
      <c r="D6" s="14"/>
      <c r="E6" s="36"/>
      <c r="F6" s="14"/>
      <c r="G6" s="36"/>
      <c r="H6" s="14"/>
      <c r="I6" s="36"/>
      <c r="J6" s="14"/>
      <c r="K6" s="36"/>
      <c r="L6" s="14"/>
      <c r="M6" s="36"/>
      <c r="N6" s="14"/>
      <c r="O6" s="36"/>
      <c r="P6" s="14"/>
      <c r="Q6" s="36"/>
      <c r="R6" s="14"/>
      <c r="S6" s="36"/>
      <c r="AO6" s="14"/>
      <c r="AP6" s="15"/>
    </row>
    <row r="7" spans="1:42" ht="12.75">
      <c r="A7" s="16" t="s">
        <v>58</v>
      </c>
      <c r="B7" s="17">
        <f>SUM(C8:C8)</f>
        <v>512.3252438967706</v>
      </c>
      <c r="C7" s="21"/>
      <c r="D7" s="17">
        <f>SUM(E8:E8)</f>
        <v>445.18584701513737</v>
      </c>
      <c r="E7" s="21"/>
      <c r="F7" s="17">
        <f>SUM(G8:G11)</f>
        <v>1842.9045845878932</v>
      </c>
      <c r="G7" s="21"/>
      <c r="H7" s="17">
        <f>SUM(I8:I11)</f>
        <v>1979</v>
      </c>
      <c r="I7" s="21"/>
      <c r="J7" s="17">
        <f>SUM(K8:K11)</f>
        <v>1788</v>
      </c>
      <c r="K7" s="21"/>
      <c r="L7" s="17">
        <f>SUM(M8:M11)</f>
        <v>1513</v>
      </c>
      <c r="M7" s="21"/>
      <c r="N7" s="17">
        <f>SUM(O8:O11)</f>
        <v>1640</v>
      </c>
      <c r="O7" s="21"/>
      <c r="P7" s="17">
        <f>SUM(Q8:Q11)</f>
        <v>1694</v>
      </c>
      <c r="Q7" s="21"/>
      <c r="R7" s="17">
        <f>SUM(S8:S11)</f>
        <v>1839</v>
      </c>
      <c r="S7" s="21"/>
      <c r="AO7" s="17" t="e">
        <f>SUM(AP8:AP8)</f>
        <v>#REF!</v>
      </c>
      <c r="AP7" s="18"/>
    </row>
    <row r="8" spans="1:42" ht="12.75">
      <c r="A8" s="19" t="s">
        <v>39</v>
      </c>
      <c r="B8" s="20"/>
      <c r="C8" s="21">
        <f>992/1.93627</f>
        <v>512.3252438967706</v>
      </c>
      <c r="D8" s="20"/>
      <c r="E8" s="21">
        <f>862/1.93627</f>
        <v>445.18584701513737</v>
      </c>
      <c r="F8" s="20"/>
      <c r="G8" s="21">
        <f>932/1.93627</f>
        <v>481.33782995140143</v>
      </c>
      <c r="H8" s="20"/>
      <c r="I8" s="44">
        <v>574</v>
      </c>
      <c r="J8" s="20"/>
      <c r="K8" s="18">
        <v>742</v>
      </c>
      <c r="L8" s="20"/>
      <c r="M8" s="21">
        <v>589</v>
      </c>
      <c r="N8" s="20"/>
      <c r="O8" s="21">
        <v>283</v>
      </c>
      <c r="P8" s="20"/>
      <c r="Q8" s="21">
        <v>385</v>
      </c>
      <c r="R8" s="20"/>
      <c r="S8" s="21">
        <v>292</v>
      </c>
      <c r="AO8" s="20"/>
      <c r="AP8" s="21" t="e">
        <f>+#REF!+#REF!+#REF!+#REF!+#REF!+#REF!+#REF!+#REF!+#REF!</f>
        <v>#REF!</v>
      </c>
    </row>
    <row r="9" spans="1:42" ht="12.75">
      <c r="A9" s="42" t="s">
        <v>36</v>
      </c>
      <c r="B9" s="20"/>
      <c r="C9" s="21"/>
      <c r="D9" s="20"/>
      <c r="E9" s="21"/>
      <c r="F9" s="20"/>
      <c r="G9" s="21"/>
      <c r="H9" s="20"/>
      <c r="I9" s="21"/>
      <c r="J9" s="20"/>
      <c r="K9" s="21">
        <v>130</v>
      </c>
      <c r="L9" s="20"/>
      <c r="M9" s="21">
        <v>168</v>
      </c>
      <c r="N9" s="20"/>
      <c r="O9" s="21">
        <v>290</v>
      </c>
      <c r="P9" s="20"/>
      <c r="Q9" s="21">
        <v>347</v>
      </c>
      <c r="R9" s="20"/>
      <c r="S9" s="21">
        <v>340</v>
      </c>
      <c r="AO9" s="20"/>
      <c r="AP9" s="21"/>
    </row>
    <row r="10" spans="1:42" ht="12.75">
      <c r="A10" s="19" t="s">
        <v>40</v>
      </c>
      <c r="B10" s="20"/>
      <c r="C10" s="21">
        <v>1000.3770135363354</v>
      </c>
      <c r="D10" s="20"/>
      <c r="E10" s="21">
        <v>1303.537213301864</v>
      </c>
      <c r="F10" s="20"/>
      <c r="G10" s="21">
        <v>1361.5667546364919</v>
      </c>
      <c r="H10" s="20"/>
      <c r="I10" s="44">
        <v>1401</v>
      </c>
      <c r="J10" s="20"/>
      <c r="K10" s="18">
        <v>916</v>
      </c>
      <c r="L10" s="20"/>
      <c r="M10" s="21">
        <v>756</v>
      </c>
      <c r="N10" s="20"/>
      <c r="O10" s="21">
        <v>1067</v>
      </c>
      <c r="P10" s="20"/>
      <c r="Q10" s="21">
        <v>962</v>
      </c>
      <c r="R10" s="20"/>
      <c r="S10" s="21">
        <v>1207</v>
      </c>
      <c r="AO10" s="20"/>
      <c r="AP10" s="21"/>
    </row>
    <row r="11" spans="1:42" ht="12.75">
      <c r="A11" s="42" t="s">
        <v>30</v>
      </c>
      <c r="B11" s="20"/>
      <c r="C11" s="21"/>
      <c r="D11" s="20"/>
      <c r="E11" s="21"/>
      <c r="F11" s="20"/>
      <c r="G11" s="21"/>
      <c r="H11" s="20"/>
      <c r="I11" s="21">
        <v>4</v>
      </c>
      <c r="J11" s="20"/>
      <c r="K11" s="21"/>
      <c r="L11" s="20"/>
      <c r="M11" s="21"/>
      <c r="N11" s="20"/>
      <c r="O11" s="21"/>
      <c r="P11" s="20"/>
      <c r="Q11" s="21"/>
      <c r="R11" s="20"/>
      <c r="S11" s="21"/>
      <c r="AO11" s="20"/>
      <c r="AP11" s="21"/>
    </row>
    <row r="12" spans="1:42" ht="12.75">
      <c r="A12" s="42"/>
      <c r="B12" s="20"/>
      <c r="C12" s="21"/>
      <c r="D12" s="20"/>
      <c r="E12" s="21"/>
      <c r="F12" s="20"/>
      <c r="G12" s="21"/>
      <c r="H12" s="20"/>
      <c r="I12" s="21"/>
      <c r="J12" s="20"/>
      <c r="K12" s="21"/>
      <c r="L12" s="20"/>
      <c r="M12" s="21"/>
      <c r="N12" s="20"/>
      <c r="O12" s="21"/>
      <c r="P12" s="20"/>
      <c r="Q12" s="21"/>
      <c r="R12" s="20"/>
      <c r="S12" s="21"/>
      <c r="AO12" s="20"/>
      <c r="AP12" s="21"/>
    </row>
    <row r="13" spans="1:42" ht="12.75">
      <c r="A13" s="22" t="s">
        <v>3</v>
      </c>
      <c r="B13" s="17">
        <f>SUM(C14:C27)</f>
        <v>16879.360832941686</v>
      </c>
      <c r="C13" s="18"/>
      <c r="D13" s="17">
        <f>SUM(E14:E27)</f>
        <v>17634.420819410516</v>
      </c>
      <c r="E13" s="18"/>
      <c r="F13" s="17">
        <f>SUM(G14:G28)</f>
        <v>19080.500136861076</v>
      </c>
      <c r="G13" s="18"/>
      <c r="H13" s="17">
        <f>SUM(I14:I28)</f>
        <v>19557.493706972684</v>
      </c>
      <c r="I13" s="18"/>
      <c r="J13" s="17">
        <f>SUM(K14:K28)</f>
        <v>19524</v>
      </c>
      <c r="K13" s="18"/>
      <c r="L13" s="17">
        <f>SUM(M14:M28)</f>
        <v>20882</v>
      </c>
      <c r="M13" s="18"/>
      <c r="N13" s="17">
        <f>SUM(O14:O28)</f>
        <v>20600</v>
      </c>
      <c r="O13" s="18"/>
      <c r="P13" s="17">
        <f>SUM(Q14:Q28)</f>
        <v>21308</v>
      </c>
      <c r="Q13" s="18"/>
      <c r="R13" s="17">
        <f>SUM(S14:S28)</f>
        <v>21055</v>
      </c>
      <c r="S13" s="18"/>
      <c r="AO13" s="17" t="e">
        <f>SUM(AP14:AP22)</f>
        <v>#REF!</v>
      </c>
      <c r="AP13" s="18"/>
    </row>
    <row r="14" spans="1:42" ht="12.75">
      <c r="A14" s="19" t="s">
        <v>35</v>
      </c>
      <c r="B14" s="20"/>
      <c r="C14" s="21">
        <f>13648/1.93627</f>
        <v>7048.603758773312</v>
      </c>
      <c r="D14" s="20"/>
      <c r="E14" s="21">
        <f>11898/1.93627</f>
        <v>6144.80418536671</v>
      </c>
      <c r="F14" s="20"/>
      <c r="G14" s="21">
        <f>11736/1.93627</f>
        <v>6061.1381677142135</v>
      </c>
      <c r="H14" s="20"/>
      <c r="I14" s="21">
        <v>6220</v>
      </c>
      <c r="J14" s="20"/>
      <c r="K14" s="21">
        <v>5810</v>
      </c>
      <c r="L14" s="20"/>
      <c r="M14" s="21">
        <v>5768</v>
      </c>
      <c r="N14" s="20"/>
      <c r="O14" s="21">
        <v>5363</v>
      </c>
      <c r="P14" s="20"/>
      <c r="Q14" s="21">
        <v>5303</v>
      </c>
      <c r="R14" s="20"/>
      <c r="S14" s="21">
        <v>5167</v>
      </c>
      <c r="AO14" s="20"/>
      <c r="AP14" s="21" t="e">
        <f>+#REF!+#REF!+#REF!+#REF!+#REF!+#REF!+#REF!+#REF!+#REF!</f>
        <v>#REF!</v>
      </c>
    </row>
    <row r="15" spans="1:42" ht="12.75">
      <c r="A15" s="19" t="s">
        <v>4</v>
      </c>
      <c r="B15" s="20"/>
      <c r="C15" s="21">
        <f>4722/1.93627</f>
        <v>2438.7094775005553</v>
      </c>
      <c r="D15" s="20"/>
      <c r="E15" s="21">
        <f>5361/1.93627</f>
        <v>2768.725436018737</v>
      </c>
      <c r="F15" s="20"/>
      <c r="G15" s="21">
        <f>5877/1.93627</f>
        <v>3035.2171959489124</v>
      </c>
      <c r="H15" s="20"/>
      <c r="I15" s="21">
        <v>3098</v>
      </c>
      <c r="J15" s="20"/>
      <c r="K15" s="21">
        <v>2711</v>
      </c>
      <c r="L15" s="20"/>
      <c r="M15" s="21">
        <v>3044</v>
      </c>
      <c r="N15" s="20"/>
      <c r="O15" s="21">
        <v>3214</v>
      </c>
      <c r="P15" s="20"/>
      <c r="Q15" s="21">
        <v>3013</v>
      </c>
      <c r="R15" s="20"/>
      <c r="S15" s="21">
        <v>2872</v>
      </c>
      <c r="AO15" s="20"/>
      <c r="AP15" s="21" t="e">
        <f>+#REF!+#REF!+#REF!+#REF!+#REF!+#REF!+#REF!+#REF!+#REF!</f>
        <v>#REF!</v>
      </c>
    </row>
    <row r="16" spans="1:42" ht="12.75">
      <c r="A16" s="19" t="s">
        <v>5</v>
      </c>
      <c r="B16" s="20"/>
      <c r="C16" s="21">
        <f>8694/1.93627</f>
        <v>4490.076280683996</v>
      </c>
      <c r="D16" s="20"/>
      <c r="E16" s="21">
        <f>9920/1.93627</f>
        <v>5123.252438967706</v>
      </c>
      <c r="F16" s="20"/>
      <c r="G16" s="21">
        <f>11272/1.93627</f>
        <v>5821.502166536692</v>
      </c>
      <c r="H16" s="20"/>
      <c r="I16" s="21">
        <v>6070</v>
      </c>
      <c r="J16" s="20"/>
      <c r="K16" s="21">
        <v>6476</v>
      </c>
      <c r="L16" s="20"/>
      <c r="M16" s="21">
        <v>7189</v>
      </c>
      <c r="N16" s="20"/>
      <c r="O16" s="21">
        <v>6900</v>
      </c>
      <c r="P16" s="20"/>
      <c r="Q16" s="21">
        <v>7432</v>
      </c>
      <c r="R16" s="20"/>
      <c r="S16" s="21">
        <v>7634</v>
      </c>
      <c r="AO16" s="20"/>
      <c r="AP16" s="21" t="e">
        <f>+#REF!+#REF!+#REF!+#REF!+#REF!+#REF!+#REF!+#REF!+#REF!</f>
        <v>#REF!</v>
      </c>
    </row>
    <row r="17" spans="1:42" ht="12.75">
      <c r="A17" s="19" t="s">
        <v>6</v>
      </c>
      <c r="B17" s="20"/>
      <c r="C17" s="21">
        <f>1882/1.93627</f>
        <v>971.9718840864136</v>
      </c>
      <c r="D17" s="20"/>
      <c r="E17" s="21">
        <f>2431/1.93627</f>
        <v>1255.5067216865416</v>
      </c>
      <c r="F17" s="20"/>
      <c r="G17" s="21">
        <f>2945/1.93627</f>
        <v>1520.9655678185377</v>
      </c>
      <c r="H17" s="20"/>
      <c r="I17" s="21">
        <v>1590</v>
      </c>
      <c r="J17" s="20"/>
      <c r="K17" s="21">
        <v>1820</v>
      </c>
      <c r="L17" s="20"/>
      <c r="M17" s="21">
        <v>2328</v>
      </c>
      <c r="N17" s="20"/>
      <c r="O17" s="21">
        <v>2649</v>
      </c>
      <c r="P17" s="20"/>
      <c r="Q17" s="21">
        <v>3039</v>
      </c>
      <c r="R17" s="20"/>
      <c r="S17" s="21">
        <v>3218</v>
      </c>
      <c r="AO17" s="20"/>
      <c r="AP17" s="21" t="e">
        <f>+#REF!+#REF!+#REF!+#REF!+#REF!+#REF!+#REF!+#REF!+#REF!</f>
        <v>#REF!</v>
      </c>
    </row>
    <row r="18" spans="1:42" ht="12.75">
      <c r="A18" s="19" t="s">
        <v>7</v>
      </c>
      <c r="B18" s="20"/>
      <c r="C18" s="21">
        <f>99/1.93627</f>
        <v>51.12923300985916</v>
      </c>
      <c r="D18" s="20"/>
      <c r="E18" s="21">
        <f>287/1.93627</f>
        <v>148.22313003868263</v>
      </c>
      <c r="F18" s="20"/>
      <c r="G18" s="21">
        <f>273/1.93627</f>
        <v>140.9927334514298</v>
      </c>
      <c r="H18" s="20"/>
      <c r="I18" s="21">
        <v>136</v>
      </c>
      <c r="J18" s="20"/>
      <c r="K18" s="21">
        <v>5</v>
      </c>
      <c r="L18" s="20"/>
      <c r="M18" s="21">
        <v>116</v>
      </c>
      <c r="N18" s="20"/>
      <c r="O18" s="21">
        <v>96</v>
      </c>
      <c r="P18" s="20"/>
      <c r="Q18" s="21">
        <v>98</v>
      </c>
      <c r="R18" s="20"/>
      <c r="S18" s="21">
        <v>104</v>
      </c>
      <c r="AO18" s="20"/>
      <c r="AP18" s="21" t="e">
        <f>+#REF!+#REF!+#REF!+#REF!+#REF!+#REF!+#REF!+#REF!+#REF!</f>
        <v>#REF!</v>
      </c>
    </row>
    <row r="19" spans="1:42" ht="12.75">
      <c r="A19" s="19" t="s">
        <v>8</v>
      </c>
      <c r="B19" s="20"/>
      <c r="C19" s="21">
        <f>802/1.93627</f>
        <v>414.19843306976816</v>
      </c>
      <c r="D19" s="20"/>
      <c r="E19" s="21">
        <f>848/1.93627</f>
        <v>437.95545042788456</v>
      </c>
      <c r="F19" s="20"/>
      <c r="G19" s="21">
        <f>931/1.93627</f>
        <v>480.8213730523119</v>
      </c>
      <c r="H19" s="20"/>
      <c r="I19" s="21">
        <v>512</v>
      </c>
      <c r="J19" s="20"/>
      <c r="K19" s="21">
        <v>568</v>
      </c>
      <c r="L19" s="20"/>
      <c r="M19" s="21">
        <v>519</v>
      </c>
      <c r="N19" s="20"/>
      <c r="O19" s="21">
        <v>497</v>
      </c>
      <c r="P19" s="20"/>
      <c r="Q19" s="21">
        <v>487</v>
      </c>
      <c r="R19" s="20"/>
      <c r="S19" s="21">
        <v>460</v>
      </c>
      <c r="AO19" s="20"/>
      <c r="AP19" s="21" t="e">
        <f>+#REF!+#REF!+#REF!+#REF!+#REF!+#REF!+#REF!+#REF!+#REF!</f>
        <v>#REF!</v>
      </c>
    </row>
    <row r="20" spans="1:42" ht="12.75">
      <c r="A20" s="19" t="s">
        <v>37</v>
      </c>
      <c r="B20" s="20"/>
      <c r="C20" s="21">
        <f>249/1.93627</f>
        <v>128.59776787328215</v>
      </c>
      <c r="D20" s="20"/>
      <c r="E20" s="21">
        <f>252/1.93627</f>
        <v>130.1471385705506</v>
      </c>
      <c r="F20" s="20"/>
      <c r="G20" s="21">
        <f>273/1.93627</f>
        <v>140.9927334514298</v>
      </c>
      <c r="H20" s="20"/>
      <c r="I20" s="21">
        <v>155</v>
      </c>
      <c r="J20" s="20"/>
      <c r="K20" s="21">
        <v>138</v>
      </c>
      <c r="L20" s="20"/>
      <c r="M20" s="21">
        <v>123</v>
      </c>
      <c r="N20" s="20"/>
      <c r="O20" s="21">
        <v>99</v>
      </c>
      <c r="P20" s="20"/>
      <c r="Q20" s="21">
        <v>165</v>
      </c>
      <c r="R20" s="20"/>
      <c r="S20" s="21">
        <v>41</v>
      </c>
      <c r="AO20" s="20"/>
      <c r="AP20" s="21" t="e">
        <f>+#REF!+#REF!+#REF!+#REF!+#REF!+#REF!+#REF!+#REF!+#REF!</f>
        <v>#REF!</v>
      </c>
    </row>
    <row r="21" spans="1:42" ht="12.75">
      <c r="A21" s="19" t="s">
        <v>29</v>
      </c>
      <c r="B21" s="20"/>
      <c r="C21" s="21">
        <f>286/1.93627</f>
        <v>147.70667313959314</v>
      </c>
      <c r="D21" s="20"/>
      <c r="E21" s="21">
        <f>434/1.93627</f>
        <v>224.14229420483716</v>
      </c>
      <c r="F21" s="20"/>
      <c r="G21" s="21">
        <f>410/1.93627</f>
        <v>211.74732862668947</v>
      </c>
      <c r="H21" s="20"/>
      <c r="I21" s="21">
        <v>273</v>
      </c>
      <c r="J21" s="20"/>
      <c r="K21" s="21">
        <v>176</v>
      </c>
      <c r="L21" s="20"/>
      <c r="M21" s="21">
        <v>156</v>
      </c>
      <c r="N21" s="20"/>
      <c r="O21" s="21">
        <v>157</v>
      </c>
      <c r="P21" s="20"/>
      <c r="Q21" s="21">
        <v>190</v>
      </c>
      <c r="R21" s="20"/>
      <c r="S21" s="21">
        <v>183</v>
      </c>
      <c r="AO21" s="20"/>
      <c r="AP21" s="21" t="e">
        <f>+#REF!+#REF!+#REF!+#REF!+#REF!+#REF!+#REF!+#REF!+#REF!</f>
        <v>#REF!</v>
      </c>
    </row>
    <row r="22" spans="1:42" ht="12.75">
      <c r="A22" s="19" t="s">
        <v>9</v>
      </c>
      <c r="B22" s="20"/>
      <c r="C22" s="21">
        <f>2301/1.93627</f>
        <v>1188.3673248049085</v>
      </c>
      <c r="D22" s="20"/>
      <c r="E22" s="21">
        <f>2510/1.93627</f>
        <v>1296.3068167146112</v>
      </c>
      <c r="F22" s="20"/>
      <c r="G22" s="21">
        <f>2590/1.93627</f>
        <v>1337.62336864177</v>
      </c>
      <c r="H22" s="20"/>
      <c r="I22" s="21">
        <v>1309</v>
      </c>
      <c r="J22" s="20"/>
      <c r="K22" s="21">
        <v>1728</v>
      </c>
      <c r="L22" s="20"/>
      <c r="M22" s="21">
        <v>1507</v>
      </c>
      <c r="N22" s="20"/>
      <c r="O22" s="21">
        <v>1459</v>
      </c>
      <c r="P22" s="20"/>
      <c r="Q22" s="21">
        <v>1481</v>
      </c>
      <c r="R22" s="20"/>
      <c r="S22" s="21">
        <v>1371</v>
      </c>
      <c r="AO22" s="20"/>
      <c r="AP22" s="21" t="e">
        <f>+#REF!+#REF!+#REF!+#REF!+#REF!+#REF!+#REF!+#REF!+#REF!</f>
        <v>#REF!</v>
      </c>
    </row>
    <row r="23" spans="1:42" ht="12.75">
      <c r="A23" s="19" t="s">
        <v>31</v>
      </c>
      <c r="B23" s="20"/>
      <c r="C23" s="21"/>
      <c r="D23" s="20"/>
      <c r="E23" s="21">
        <f>204/1.93627</f>
        <v>105.35720741425524</v>
      </c>
      <c r="F23" s="20"/>
      <c r="G23" s="21">
        <f>336/1.93627</f>
        <v>173.52951809406747</v>
      </c>
      <c r="H23" s="20"/>
      <c r="I23" s="21">
        <v>179</v>
      </c>
      <c r="J23" s="20"/>
      <c r="K23" s="21"/>
      <c r="L23" s="20"/>
      <c r="M23" s="21"/>
      <c r="N23" s="20"/>
      <c r="O23" s="21"/>
      <c r="P23" s="20"/>
      <c r="Q23" s="21"/>
      <c r="R23" s="20"/>
      <c r="S23" s="21"/>
      <c r="AO23" s="20"/>
      <c r="AP23" s="21"/>
    </row>
    <row r="24" spans="1:42" ht="12.75">
      <c r="A24" s="19" t="s">
        <v>38</v>
      </c>
      <c r="B24" s="20"/>
      <c r="C24" s="21"/>
      <c r="D24" s="20"/>
      <c r="E24" s="21"/>
      <c r="F24" s="20"/>
      <c r="G24" s="21"/>
      <c r="H24" s="20"/>
      <c r="I24" s="21"/>
      <c r="J24" s="20"/>
      <c r="K24" s="21">
        <v>92</v>
      </c>
      <c r="L24" s="20"/>
      <c r="M24" s="21">
        <v>132</v>
      </c>
      <c r="N24" s="20"/>
      <c r="O24" s="21">
        <v>166</v>
      </c>
      <c r="P24" s="20"/>
      <c r="Q24" s="21">
        <v>100</v>
      </c>
      <c r="R24" s="20"/>
      <c r="S24" s="21">
        <v>5</v>
      </c>
      <c r="AO24" s="20"/>
      <c r="AP24" s="21"/>
    </row>
    <row r="25" spans="1:42" ht="12.75">
      <c r="A25" s="19" t="s">
        <v>27</v>
      </c>
      <c r="B25" s="17"/>
      <c r="C25" s="21"/>
      <c r="D25" s="17"/>
      <c r="E25" s="21"/>
      <c r="F25" s="17"/>
      <c r="G25" s="21">
        <f>30/1.93627</f>
        <v>15.493706972684596</v>
      </c>
      <c r="H25" s="17"/>
      <c r="I25" s="21"/>
      <c r="J25" s="17"/>
      <c r="K25" s="21"/>
      <c r="L25" s="17"/>
      <c r="M25" s="21"/>
      <c r="N25" s="17"/>
      <c r="O25" s="21"/>
      <c r="P25" s="17"/>
      <c r="Q25" s="21"/>
      <c r="R25" s="17"/>
      <c r="S25" s="21"/>
      <c r="AO25" s="20"/>
      <c r="AP25" s="21"/>
    </row>
    <row r="26" spans="1:42" ht="12.75">
      <c r="A26" s="19" t="s">
        <v>22</v>
      </c>
      <c r="B26" s="17"/>
      <c r="C26" s="21"/>
      <c r="D26" s="17"/>
      <c r="E26" s="21"/>
      <c r="F26" s="17"/>
      <c r="G26" s="21">
        <f>20/1.93627</f>
        <v>10.32913798178973</v>
      </c>
      <c r="H26" s="17"/>
      <c r="I26" s="21"/>
      <c r="J26" s="17"/>
      <c r="K26" s="21"/>
      <c r="L26" s="17"/>
      <c r="M26" s="21"/>
      <c r="N26" s="17"/>
      <c r="O26" s="21"/>
      <c r="P26" s="17"/>
      <c r="Q26" s="21"/>
      <c r="R26" s="17"/>
      <c r="S26" s="21"/>
      <c r="AO26" s="17"/>
      <c r="AP26" s="18"/>
    </row>
    <row r="27" spans="1:42" ht="12.75">
      <c r="A27" s="40" t="s">
        <v>23</v>
      </c>
      <c r="B27" s="23"/>
      <c r="C27" s="21"/>
      <c r="D27" s="23"/>
      <c r="E27" s="21"/>
      <c r="F27" s="23"/>
      <c r="G27" s="21">
        <f>252/1.93627</f>
        <v>130.1471385705506</v>
      </c>
      <c r="H27" s="23"/>
      <c r="I27" s="21"/>
      <c r="J27" s="23"/>
      <c r="K27" s="21"/>
      <c r="L27" s="23"/>
      <c r="M27" s="21"/>
      <c r="N27" s="23"/>
      <c r="O27" s="21"/>
      <c r="P27" s="23"/>
      <c r="Q27" s="21"/>
      <c r="R27" s="23"/>
      <c r="S27" s="21"/>
      <c r="AO27" s="23"/>
      <c r="AP27" s="24"/>
    </row>
    <row r="28" spans="1:42" ht="12.75">
      <c r="A28" s="19" t="s">
        <v>28</v>
      </c>
      <c r="B28" s="23"/>
      <c r="C28" s="21"/>
      <c r="D28" s="23"/>
      <c r="E28" s="21"/>
      <c r="F28" s="23"/>
      <c r="G28" s="21">
        <v>0</v>
      </c>
      <c r="H28" s="23"/>
      <c r="I28" s="21">
        <f>30/1.93627</f>
        <v>15.493706972684596</v>
      </c>
      <c r="J28" s="23"/>
      <c r="K28" s="21"/>
      <c r="L28" s="23"/>
      <c r="M28" s="21"/>
      <c r="N28" s="23"/>
      <c r="O28" s="21"/>
      <c r="P28" s="23"/>
      <c r="Q28" s="21"/>
      <c r="R28" s="23"/>
      <c r="S28" s="21"/>
      <c r="AO28" s="23"/>
      <c r="AP28" s="24"/>
    </row>
    <row r="29" spans="1:42" ht="14.25" customHeight="1">
      <c r="A29" s="22"/>
      <c r="B29" s="20"/>
      <c r="C29" s="18"/>
      <c r="D29" s="20"/>
      <c r="E29" s="18"/>
      <c r="F29" s="20"/>
      <c r="G29" s="18"/>
      <c r="H29" s="20"/>
      <c r="I29" s="18"/>
      <c r="J29" s="20"/>
      <c r="K29" s="18"/>
      <c r="L29" s="20"/>
      <c r="M29" s="18"/>
      <c r="N29" s="20"/>
      <c r="O29" s="18"/>
      <c r="P29" s="20"/>
      <c r="Q29" s="18"/>
      <c r="R29" s="20"/>
      <c r="S29" s="18"/>
      <c r="AO29" s="20"/>
      <c r="AP29" s="18"/>
    </row>
    <row r="30" spans="1:42" ht="12.75">
      <c r="A30" s="22" t="s">
        <v>41</v>
      </c>
      <c r="B30" s="17">
        <f>SUM(C31:C32)</f>
        <v>0</v>
      </c>
      <c r="C30" s="18"/>
      <c r="D30" s="17">
        <f>SUM(E31:E32)</f>
        <v>0</v>
      </c>
      <c r="E30" s="18"/>
      <c r="F30" s="17">
        <f>SUM(G31:G32)</f>
        <v>0</v>
      </c>
      <c r="G30" s="18"/>
      <c r="H30" s="17">
        <f>SUM(I31:I32)</f>
        <v>0</v>
      </c>
      <c r="I30" s="18"/>
      <c r="J30" s="17">
        <f>SUM(K31:K32)</f>
        <v>300</v>
      </c>
      <c r="K30" s="18"/>
      <c r="L30" s="17">
        <f>SUM(M31:M32)</f>
        <v>349</v>
      </c>
      <c r="M30" s="18"/>
      <c r="N30" s="17">
        <f>SUM(O31:O32)</f>
        <v>363</v>
      </c>
      <c r="O30" s="18"/>
      <c r="P30" s="17">
        <f>SUM(Q31:Q32)</f>
        <v>365</v>
      </c>
      <c r="Q30" s="18"/>
      <c r="R30" s="17">
        <f>SUM(S31:S32)</f>
        <v>0</v>
      </c>
      <c r="S30" s="18"/>
      <c r="AO30" s="17"/>
      <c r="AP30" s="18"/>
    </row>
    <row r="31" spans="1:42" ht="12.75">
      <c r="A31" s="19" t="s">
        <v>38</v>
      </c>
      <c r="B31" s="20"/>
      <c r="C31" s="21"/>
      <c r="D31" s="20"/>
      <c r="E31" s="21"/>
      <c r="F31" s="20"/>
      <c r="G31" s="21"/>
      <c r="H31" s="20"/>
      <c r="I31" s="21"/>
      <c r="J31" s="20"/>
      <c r="K31" s="21">
        <v>249</v>
      </c>
      <c r="L31" s="20"/>
      <c r="M31" s="21">
        <v>300</v>
      </c>
      <c r="N31" s="20"/>
      <c r="O31" s="21">
        <v>293</v>
      </c>
      <c r="P31" s="20"/>
      <c r="Q31" s="21">
        <v>318</v>
      </c>
      <c r="R31" s="20"/>
      <c r="S31" s="21"/>
      <c r="AO31" s="20"/>
      <c r="AP31" s="21"/>
    </row>
    <row r="32" spans="1:42" ht="12.75">
      <c r="A32" s="19" t="s">
        <v>42</v>
      </c>
      <c r="B32" s="20"/>
      <c r="C32" s="21"/>
      <c r="D32" s="20"/>
      <c r="E32" s="21"/>
      <c r="F32" s="20"/>
      <c r="G32" s="21"/>
      <c r="H32" s="20"/>
      <c r="I32" s="21"/>
      <c r="J32" s="20"/>
      <c r="K32" s="21">
        <v>51</v>
      </c>
      <c r="L32" s="20"/>
      <c r="M32" s="21">
        <v>49</v>
      </c>
      <c r="N32" s="20"/>
      <c r="O32" s="21">
        <v>70</v>
      </c>
      <c r="P32" s="20"/>
      <c r="Q32" s="21">
        <v>47</v>
      </c>
      <c r="R32" s="20"/>
      <c r="S32" s="21"/>
      <c r="AO32" s="20"/>
      <c r="AP32" s="21"/>
    </row>
    <row r="33" spans="1:42" ht="12.75">
      <c r="A33" s="19"/>
      <c r="B33" s="20"/>
      <c r="C33" s="21"/>
      <c r="D33" s="20"/>
      <c r="E33" s="21"/>
      <c r="F33" s="20"/>
      <c r="G33" s="21"/>
      <c r="H33" s="20"/>
      <c r="I33" s="21"/>
      <c r="J33" s="20"/>
      <c r="K33" s="21"/>
      <c r="L33" s="20"/>
      <c r="M33" s="21"/>
      <c r="N33" s="20"/>
      <c r="O33" s="21"/>
      <c r="P33" s="20"/>
      <c r="Q33" s="21"/>
      <c r="R33" s="20"/>
      <c r="S33" s="21"/>
      <c r="AO33" s="20"/>
      <c r="AP33" s="21"/>
    </row>
    <row r="34" spans="1:42" ht="12.75">
      <c r="A34" s="22" t="s">
        <v>43</v>
      </c>
      <c r="B34" s="17">
        <f>SUM(C35:C36)</f>
        <v>60.94191409255941</v>
      </c>
      <c r="C34" s="18"/>
      <c r="D34" s="17">
        <f>SUM(E35:E36)</f>
        <v>485.9859420432068</v>
      </c>
      <c r="E34" s="18"/>
      <c r="F34" s="17">
        <f>SUM(G35:G36)</f>
        <v>386.8262174180254</v>
      </c>
      <c r="G34" s="18"/>
      <c r="H34" s="17">
        <f>SUM(I35:I36)</f>
        <v>431</v>
      </c>
      <c r="I34" s="18"/>
      <c r="J34" s="17">
        <f>SUM(K35:K36)</f>
        <v>535</v>
      </c>
      <c r="K34" s="18"/>
      <c r="L34" s="17">
        <f>SUM(M35:M36)</f>
        <v>596</v>
      </c>
      <c r="M34" s="18"/>
      <c r="N34" s="17">
        <f>SUM(O35:O36)</f>
        <v>761</v>
      </c>
      <c r="O34" s="18"/>
      <c r="P34" s="17">
        <f>SUM(Q35:Q36)</f>
        <v>838</v>
      </c>
      <c r="Q34" s="18"/>
      <c r="R34" s="17">
        <f>SUM(S35:S36)</f>
        <v>885</v>
      </c>
      <c r="S34" s="18"/>
      <c r="AO34" s="20"/>
      <c r="AP34" s="21"/>
    </row>
    <row r="35" spans="1:42" ht="12.75">
      <c r="A35" s="19" t="s">
        <v>10</v>
      </c>
      <c r="B35" s="20"/>
      <c r="C35" s="21">
        <f>118/1.93627</f>
        <v>60.94191409255941</v>
      </c>
      <c r="D35" s="20"/>
      <c r="E35" s="21">
        <f>941/1.93627</f>
        <v>485.9859420432068</v>
      </c>
      <c r="F35" s="20"/>
      <c r="G35" s="21">
        <f>749/1.93627</f>
        <v>386.8262174180254</v>
      </c>
      <c r="H35" s="20"/>
      <c r="I35" s="21">
        <v>431</v>
      </c>
      <c r="J35" s="20"/>
      <c r="K35" s="21">
        <v>434</v>
      </c>
      <c r="L35" s="20"/>
      <c r="M35" s="21">
        <v>584</v>
      </c>
      <c r="N35" s="20"/>
      <c r="O35" s="21">
        <v>714</v>
      </c>
      <c r="P35" s="20"/>
      <c r="Q35" s="21">
        <v>807</v>
      </c>
      <c r="R35" s="20"/>
      <c r="S35" s="21">
        <v>885</v>
      </c>
      <c r="AO35" s="20"/>
      <c r="AP35" s="21"/>
    </row>
    <row r="36" spans="1:42" ht="12.75">
      <c r="A36" s="19" t="s">
        <v>44</v>
      </c>
      <c r="B36" s="20"/>
      <c r="C36" s="21"/>
      <c r="D36" s="20"/>
      <c r="E36" s="21"/>
      <c r="F36" s="20"/>
      <c r="G36" s="21"/>
      <c r="H36" s="20"/>
      <c r="I36" s="21"/>
      <c r="J36" s="20"/>
      <c r="K36" s="21">
        <v>101</v>
      </c>
      <c r="L36" s="20"/>
      <c r="M36" s="21">
        <v>12</v>
      </c>
      <c r="N36" s="20"/>
      <c r="O36" s="21">
        <v>47</v>
      </c>
      <c r="P36" s="20"/>
      <c r="Q36" s="21">
        <v>31</v>
      </c>
      <c r="R36" s="20"/>
      <c r="S36" s="21"/>
      <c r="AO36" s="20"/>
      <c r="AP36" s="21"/>
    </row>
    <row r="37" spans="1:42" ht="12.75">
      <c r="A37" s="19"/>
      <c r="B37" s="20"/>
      <c r="C37" s="21"/>
      <c r="D37" s="20"/>
      <c r="E37" s="21"/>
      <c r="F37" s="20"/>
      <c r="G37" s="21"/>
      <c r="H37" s="20"/>
      <c r="I37" s="21"/>
      <c r="J37" s="20"/>
      <c r="K37" s="21"/>
      <c r="L37" s="20"/>
      <c r="M37" s="21"/>
      <c r="N37" s="20"/>
      <c r="O37" s="21"/>
      <c r="P37" s="20"/>
      <c r="Q37" s="21"/>
      <c r="R37" s="20"/>
      <c r="S37" s="21"/>
      <c r="AO37" s="20"/>
      <c r="AP37" s="21"/>
    </row>
    <row r="38" spans="1:42" ht="12.75">
      <c r="A38" s="22" t="s">
        <v>45</v>
      </c>
      <c r="B38" s="17">
        <f>SUM(C39:C47)</f>
        <v>4043.34106297159</v>
      </c>
      <c r="C38" s="18"/>
      <c r="D38" s="17">
        <f>SUM(E39:E47)</f>
        <v>4375.42284908613</v>
      </c>
      <c r="E38" s="18"/>
      <c r="F38" s="17">
        <f>SUM(G39:G47)</f>
        <v>4592.301832905535</v>
      </c>
      <c r="G38" s="18"/>
      <c r="H38" s="17">
        <f>SUM(I39:I47)</f>
        <v>5510</v>
      </c>
      <c r="I38" s="18"/>
      <c r="J38" s="17">
        <f>SUM(K39:K47)</f>
        <v>5821</v>
      </c>
      <c r="K38" s="18"/>
      <c r="L38" s="17">
        <f>SUM(M39:M47)</f>
        <v>6016</v>
      </c>
      <c r="M38" s="18"/>
      <c r="N38" s="17">
        <f>SUM(O39:O47)</f>
        <v>6566</v>
      </c>
      <c r="O38" s="18"/>
      <c r="P38" s="17">
        <f>SUM(Q39:Q47)</f>
        <v>7001</v>
      </c>
      <c r="Q38" s="18"/>
      <c r="R38" s="17">
        <f>SUM(S39:S47)</f>
        <v>7337</v>
      </c>
      <c r="S38" s="18"/>
      <c r="AO38" s="17" t="e">
        <f>SUM(AP41:AP45)</f>
        <v>#REF!</v>
      </c>
      <c r="AP38" s="18"/>
    </row>
    <row r="39" spans="1:42" ht="12.75">
      <c r="A39" s="19" t="s">
        <v>13</v>
      </c>
      <c r="B39" s="20"/>
      <c r="C39" s="21">
        <f>1830/1.93627</f>
        <v>945.1161253337604</v>
      </c>
      <c r="D39" s="20"/>
      <c r="E39" s="21">
        <f>2292/1.93627</f>
        <v>1183.7192127131032</v>
      </c>
      <c r="F39" s="20"/>
      <c r="G39" s="21">
        <f>2736/1.93627</f>
        <v>1413.026075908835</v>
      </c>
      <c r="H39" s="20"/>
      <c r="I39" s="21">
        <v>1728</v>
      </c>
      <c r="J39" s="20"/>
      <c r="K39" s="21">
        <v>2179</v>
      </c>
      <c r="L39" s="20"/>
      <c r="M39" s="21">
        <v>2405</v>
      </c>
      <c r="N39" s="20"/>
      <c r="O39" s="21">
        <v>2684</v>
      </c>
      <c r="P39" s="20"/>
      <c r="Q39" s="21">
        <v>3010</v>
      </c>
      <c r="R39" s="20"/>
      <c r="S39" s="21">
        <v>3315</v>
      </c>
      <c r="AO39" s="17"/>
      <c r="AP39" s="18"/>
    </row>
    <row r="40" spans="1:42" ht="12.75">
      <c r="A40" s="19" t="s">
        <v>46</v>
      </c>
      <c r="B40" s="20"/>
      <c r="C40" s="21"/>
      <c r="D40" s="20"/>
      <c r="E40" s="21"/>
      <c r="F40" s="20"/>
      <c r="G40" s="21"/>
      <c r="H40" s="20"/>
      <c r="I40" s="21"/>
      <c r="J40" s="20"/>
      <c r="K40" s="21"/>
      <c r="L40" s="20"/>
      <c r="M40" s="21"/>
      <c r="N40" s="20"/>
      <c r="O40" s="21">
        <v>235</v>
      </c>
      <c r="P40" s="20"/>
      <c r="Q40" s="21">
        <v>303</v>
      </c>
      <c r="R40" s="20"/>
      <c r="S40" s="21">
        <v>333</v>
      </c>
      <c r="AO40" s="17"/>
      <c r="AP40" s="18"/>
    </row>
    <row r="41" spans="1:42" ht="12.75">
      <c r="A41" s="19" t="s">
        <v>11</v>
      </c>
      <c r="B41" s="20"/>
      <c r="C41" s="21">
        <f>806/1.93627</f>
        <v>416.2642606661261</v>
      </c>
      <c r="D41" s="20"/>
      <c r="E41" s="21">
        <f>379/1.93627</f>
        <v>195.7371647549154</v>
      </c>
      <c r="F41" s="20"/>
      <c r="G41" s="21">
        <f>451/1.93627</f>
        <v>232.9220614893584</v>
      </c>
      <c r="H41" s="20"/>
      <c r="I41" s="21">
        <v>697</v>
      </c>
      <c r="J41" s="20"/>
      <c r="K41" s="21">
        <v>724</v>
      </c>
      <c r="L41" s="20"/>
      <c r="M41" s="21">
        <v>757</v>
      </c>
      <c r="N41" s="20"/>
      <c r="O41" s="21">
        <v>768</v>
      </c>
      <c r="P41" s="20"/>
      <c r="Q41" s="21">
        <v>861</v>
      </c>
      <c r="R41" s="20"/>
      <c r="S41" s="21">
        <v>786</v>
      </c>
      <c r="AO41" s="20"/>
      <c r="AP41" s="21" t="e">
        <f>+#REF!+#REF!+#REF!+#REF!+#REF!+#REF!+#REF!+#REF!+#REF!</f>
        <v>#REF!</v>
      </c>
    </row>
    <row r="42" spans="1:42" ht="12.75">
      <c r="A42" s="19" t="s">
        <v>48</v>
      </c>
      <c r="B42" s="20"/>
      <c r="C42" s="21">
        <f>1499/1.93627</f>
        <v>774.1688917351403</v>
      </c>
      <c r="D42" s="20"/>
      <c r="E42" s="21">
        <f>1747/1.93627</f>
        <v>902.2502027093329</v>
      </c>
      <c r="F42" s="20"/>
      <c r="G42" s="21">
        <f>2031/1.93627</f>
        <v>1048.9239620507471</v>
      </c>
      <c r="H42" s="20"/>
      <c r="I42" s="21">
        <v>1150</v>
      </c>
      <c r="J42" s="20"/>
      <c r="K42" s="21">
        <v>1008</v>
      </c>
      <c r="L42" s="20"/>
      <c r="M42" s="21">
        <v>883</v>
      </c>
      <c r="N42" s="20"/>
      <c r="O42" s="21">
        <v>1011</v>
      </c>
      <c r="P42" s="20"/>
      <c r="Q42" s="21">
        <v>1024</v>
      </c>
      <c r="R42" s="20"/>
      <c r="S42" s="21">
        <v>1098</v>
      </c>
      <c r="AO42" s="20"/>
      <c r="AP42" s="21"/>
    </row>
    <row r="43" spans="1:42" ht="12.75">
      <c r="A43" s="19" t="s">
        <v>47</v>
      </c>
      <c r="B43" s="20"/>
      <c r="C43" s="21"/>
      <c r="D43" s="20"/>
      <c r="E43" s="21"/>
      <c r="F43" s="20"/>
      <c r="G43" s="21"/>
      <c r="H43" s="20"/>
      <c r="I43" s="21"/>
      <c r="J43" s="20"/>
      <c r="K43" s="21">
        <v>1070</v>
      </c>
      <c r="L43" s="20"/>
      <c r="M43" s="21">
        <v>1117</v>
      </c>
      <c r="N43" s="20"/>
      <c r="O43" s="21">
        <v>975</v>
      </c>
      <c r="P43" s="20"/>
      <c r="Q43" s="21">
        <v>895</v>
      </c>
      <c r="R43" s="20"/>
      <c r="S43" s="21">
        <v>862</v>
      </c>
      <c r="AO43" s="20"/>
      <c r="AP43" s="21"/>
    </row>
    <row r="44" spans="1:42" ht="12.75">
      <c r="A44" s="19" t="s">
        <v>12</v>
      </c>
      <c r="B44" s="20"/>
      <c r="C44" s="21">
        <f>2152/1.93627</f>
        <v>1111.415246840575</v>
      </c>
      <c r="D44" s="20"/>
      <c r="E44" s="21">
        <f>2335/1.93627</f>
        <v>1205.926859373951</v>
      </c>
      <c r="F44" s="20"/>
      <c r="G44" s="21">
        <f>2039/1.93627</f>
        <v>1053.055617243463</v>
      </c>
      <c r="H44" s="20"/>
      <c r="I44" s="21">
        <v>1045</v>
      </c>
      <c r="J44" s="20"/>
      <c r="K44" s="21"/>
      <c r="L44" s="20"/>
      <c r="M44" s="21"/>
      <c r="N44" s="20"/>
      <c r="O44" s="21"/>
      <c r="P44" s="20"/>
      <c r="Q44" s="21"/>
      <c r="R44" s="20"/>
      <c r="S44" s="21"/>
      <c r="AO44" s="20"/>
      <c r="AP44" s="21" t="e">
        <f>+#REF!+#REF!+#REF!+#REF!+#REF!+#REF!+#REF!+#REF!+#REF!</f>
        <v>#REF!</v>
      </c>
    </row>
    <row r="45" spans="1:42" ht="12.75">
      <c r="A45" s="19" t="s">
        <v>14</v>
      </c>
      <c r="B45" s="20"/>
      <c r="C45" s="21">
        <f>1542/1.93627</f>
        <v>796.3765383959882</v>
      </c>
      <c r="D45" s="20"/>
      <c r="E45" s="21">
        <f>1719/1.93627</f>
        <v>887.7894095348273</v>
      </c>
      <c r="F45" s="20"/>
      <c r="G45" s="21">
        <f>1603/1.93627</f>
        <v>827.8804092404469</v>
      </c>
      <c r="H45" s="20"/>
      <c r="I45" s="21">
        <v>890</v>
      </c>
      <c r="J45" s="20"/>
      <c r="K45" s="21">
        <v>840</v>
      </c>
      <c r="L45" s="20"/>
      <c r="M45" s="21">
        <v>854</v>
      </c>
      <c r="N45" s="20"/>
      <c r="O45" s="21">
        <v>893</v>
      </c>
      <c r="P45" s="20"/>
      <c r="Q45" s="21">
        <v>903</v>
      </c>
      <c r="R45" s="20"/>
      <c r="S45" s="21">
        <v>943</v>
      </c>
      <c r="AO45" s="20"/>
      <c r="AP45" s="21" t="e">
        <f>+#REF!+#REF!+#REF!+#REF!+#REF!+#REF!+#REF!+#REF!+#REF!</f>
        <v>#REF!</v>
      </c>
    </row>
    <row r="46" spans="1:42" ht="12.75">
      <c r="A46" s="19" t="s">
        <v>26</v>
      </c>
      <c r="B46" s="20"/>
      <c r="C46" s="21"/>
      <c r="D46" s="20"/>
      <c r="E46" s="21"/>
      <c r="F46" s="20"/>
      <c r="G46" s="21">
        <f>30/1.93627+1</f>
        <v>16.493706972684596</v>
      </c>
      <c r="H46" s="20"/>
      <c r="I46" s="21"/>
      <c r="J46" s="20"/>
      <c r="K46" s="21"/>
      <c r="L46" s="20"/>
      <c r="M46" s="21"/>
      <c r="N46" s="20"/>
      <c r="O46" s="21"/>
      <c r="P46" s="20"/>
      <c r="Q46" s="21"/>
      <c r="R46" s="20"/>
      <c r="S46" s="21"/>
      <c r="AO46" s="20"/>
      <c r="AP46" s="18"/>
    </row>
    <row r="47" spans="1:42" ht="12.75">
      <c r="A47" s="19" t="s">
        <v>51</v>
      </c>
      <c r="B47" s="20"/>
      <c r="C47" s="21"/>
      <c r="D47" s="20"/>
      <c r="E47" s="21"/>
      <c r="F47" s="20"/>
      <c r="G47" s="21"/>
      <c r="H47" s="20"/>
      <c r="I47" s="21"/>
      <c r="J47" s="20"/>
      <c r="K47" s="21"/>
      <c r="L47" s="20"/>
      <c r="M47" s="21"/>
      <c r="N47" s="20"/>
      <c r="O47" s="21"/>
      <c r="P47" s="20"/>
      <c r="Q47" s="21">
        <v>5</v>
      </c>
      <c r="R47" s="20"/>
      <c r="S47" s="21"/>
      <c r="AO47" s="20"/>
      <c r="AP47" s="18"/>
    </row>
    <row r="48" spans="1:42" ht="13.5" customHeight="1">
      <c r="A48" s="55"/>
      <c r="B48" s="54"/>
      <c r="C48" s="27"/>
      <c r="D48" s="54"/>
      <c r="E48" s="27"/>
      <c r="F48" s="54"/>
      <c r="G48" s="27"/>
      <c r="H48" s="54"/>
      <c r="I48" s="27"/>
      <c r="J48" s="54"/>
      <c r="K48" s="27"/>
      <c r="L48" s="54"/>
      <c r="M48" s="27"/>
      <c r="N48" s="54"/>
      <c r="O48" s="27"/>
      <c r="P48" s="54"/>
      <c r="Q48" s="27"/>
      <c r="R48" s="54"/>
      <c r="S48" s="27"/>
      <c r="AO48" s="20"/>
      <c r="AP48" s="18"/>
    </row>
    <row r="49" spans="1:42" ht="12.75">
      <c r="A49" s="22" t="s">
        <v>15</v>
      </c>
      <c r="B49" s="17">
        <f>SUM(C50:C56)</f>
        <v>880.042556048485</v>
      </c>
      <c r="C49" s="18"/>
      <c r="D49" s="17">
        <f>SUM(E50:E56)</f>
        <v>1035.4960826744204</v>
      </c>
      <c r="E49" s="18"/>
      <c r="F49" s="17">
        <f>SUM(G50:G56)</f>
        <v>1575.1606284247546</v>
      </c>
      <c r="G49" s="18"/>
      <c r="H49" s="17">
        <f>SUM(I50:I56)</f>
        <v>1150</v>
      </c>
      <c r="I49" s="18"/>
      <c r="J49" s="17">
        <f>SUM(K50:K56)</f>
        <v>2145</v>
      </c>
      <c r="K49" s="18"/>
      <c r="L49" s="17">
        <f>SUM(M50:M56)</f>
        <v>2392</v>
      </c>
      <c r="M49" s="18"/>
      <c r="N49" s="17">
        <f>SUM(O50:O56)</f>
        <v>2058</v>
      </c>
      <c r="O49" s="18"/>
      <c r="P49" s="17">
        <f>SUM(Q50:Q56)</f>
        <v>2114</v>
      </c>
      <c r="Q49" s="18"/>
      <c r="R49" s="17">
        <f>SUM(S50:S56)</f>
        <v>2224</v>
      </c>
      <c r="S49" s="18"/>
      <c r="AO49" s="17" t="e">
        <f>SUM(AP50:AP53)</f>
        <v>#REF!</v>
      </c>
      <c r="AP49" s="18"/>
    </row>
    <row r="50" spans="1:42" ht="12.75">
      <c r="A50" s="19" t="s">
        <v>49</v>
      </c>
      <c r="B50" s="20"/>
      <c r="C50" s="21">
        <f>885/1.93627</f>
        <v>457.06435569419557</v>
      </c>
      <c r="D50" s="20"/>
      <c r="E50" s="21">
        <f>1374/1.93627</f>
        <v>709.6117793489544</v>
      </c>
      <c r="F50" s="20"/>
      <c r="G50" s="21">
        <f>1204/1.93627</f>
        <v>621.8141065037418</v>
      </c>
      <c r="H50" s="20"/>
      <c r="I50" s="21">
        <v>598</v>
      </c>
      <c r="J50" s="20"/>
      <c r="K50" s="21">
        <v>1405</v>
      </c>
      <c r="L50" s="20"/>
      <c r="M50" s="21">
        <v>1574</v>
      </c>
      <c r="N50" s="20"/>
      <c r="O50" s="21">
        <v>1512</v>
      </c>
      <c r="P50" s="20"/>
      <c r="Q50" s="21">
        <v>1516</v>
      </c>
      <c r="R50" s="20"/>
      <c r="S50" s="21">
        <v>1513</v>
      </c>
      <c r="AO50" s="20"/>
      <c r="AP50" s="21" t="e">
        <f>+#REF!+#REF!+#REF!+#REF!+#REF!+#REF!+#REF!+#REF!+#REF!</f>
        <v>#REF!</v>
      </c>
    </row>
    <row r="51" spans="1:42" ht="12.75">
      <c r="A51" s="19" t="s">
        <v>16</v>
      </c>
      <c r="B51" s="20"/>
      <c r="C51" s="21">
        <f>656/1.93627</f>
        <v>338.79572580270315</v>
      </c>
      <c r="D51" s="20"/>
      <c r="E51" s="21">
        <f>429/1.93627</f>
        <v>221.5600097093897</v>
      </c>
      <c r="F51" s="20"/>
      <c r="G51" s="21">
        <f>684/1.93627</f>
        <v>353.25651897720877</v>
      </c>
      <c r="H51" s="20"/>
      <c r="I51" s="21">
        <v>392</v>
      </c>
      <c r="J51" s="20"/>
      <c r="K51" s="21">
        <v>506</v>
      </c>
      <c r="L51" s="20"/>
      <c r="M51" s="21">
        <v>485</v>
      </c>
      <c r="N51" s="20"/>
      <c r="O51" s="21">
        <v>388</v>
      </c>
      <c r="P51" s="20"/>
      <c r="Q51" s="21">
        <v>466</v>
      </c>
      <c r="R51" s="20"/>
      <c r="S51" s="21">
        <v>576</v>
      </c>
      <c r="AO51" s="57"/>
      <c r="AP51" s="44"/>
    </row>
    <row r="52" spans="1:19" ht="12.75">
      <c r="A52" s="40" t="s">
        <v>50</v>
      </c>
      <c r="B52" s="23"/>
      <c r="C52" s="21"/>
      <c r="D52" s="23"/>
      <c r="E52" s="21"/>
      <c r="F52" s="23"/>
      <c r="G52" s="21"/>
      <c r="H52" s="23"/>
      <c r="I52" s="21"/>
      <c r="J52" s="23"/>
      <c r="K52" s="21">
        <v>156</v>
      </c>
      <c r="L52" s="23"/>
      <c r="M52" s="21">
        <v>233</v>
      </c>
      <c r="N52" s="23"/>
      <c r="O52" s="21">
        <v>84</v>
      </c>
      <c r="P52" s="23"/>
      <c r="Q52" s="21">
        <v>86</v>
      </c>
      <c r="R52" s="23"/>
      <c r="S52" s="21">
        <v>95</v>
      </c>
    </row>
    <row r="53" spans="1:42" ht="12.75">
      <c r="A53" s="19" t="s">
        <v>17</v>
      </c>
      <c r="B53" s="20"/>
      <c r="C53" s="21">
        <f>163/1.93627</f>
        <v>84.1824745515863</v>
      </c>
      <c r="D53" s="20"/>
      <c r="E53" s="21">
        <f>162/1.93627</f>
        <v>83.66601765249682</v>
      </c>
      <c r="F53" s="20"/>
      <c r="G53" s="21">
        <f>318/1.93627</f>
        <v>164.2332939104567</v>
      </c>
      <c r="H53" s="20"/>
      <c r="I53" s="21">
        <v>160</v>
      </c>
      <c r="J53" s="20"/>
      <c r="K53" s="21">
        <v>78</v>
      </c>
      <c r="L53" s="20"/>
      <c r="M53" s="21">
        <v>100</v>
      </c>
      <c r="N53" s="20"/>
      <c r="O53" s="21">
        <v>74</v>
      </c>
      <c r="P53" s="20"/>
      <c r="Q53" s="21">
        <v>46</v>
      </c>
      <c r="R53" s="20"/>
      <c r="S53" s="21">
        <v>40</v>
      </c>
      <c r="AO53" s="20"/>
      <c r="AP53" s="21" t="e">
        <f>+#REF!+#REF!+#REF!+#REF!+#REF!+#REF!+#REF!+#REF!+#REF!</f>
        <v>#REF!</v>
      </c>
    </row>
    <row r="54" spans="1:42" ht="12.75">
      <c r="A54" s="19" t="s">
        <v>32</v>
      </c>
      <c r="B54" s="20"/>
      <c r="C54" s="21"/>
      <c r="D54" s="20"/>
      <c r="E54" s="21">
        <f>40/1.93627</f>
        <v>20.65827596357946</v>
      </c>
      <c r="F54" s="20"/>
      <c r="G54" s="21"/>
      <c r="H54" s="20"/>
      <c r="I54" s="21"/>
      <c r="J54" s="20"/>
      <c r="K54" s="21"/>
      <c r="L54" s="20"/>
      <c r="M54" s="21"/>
      <c r="N54" s="20"/>
      <c r="O54" s="21"/>
      <c r="P54" s="20"/>
      <c r="Q54" s="21"/>
      <c r="R54" s="20"/>
      <c r="S54" s="21"/>
      <c r="AO54" s="20"/>
      <c r="AP54" s="21"/>
    </row>
    <row r="55" spans="1:42" ht="12.75">
      <c r="A55" s="19" t="s">
        <v>24</v>
      </c>
      <c r="B55" s="20"/>
      <c r="C55" s="21"/>
      <c r="D55" s="20"/>
      <c r="E55" s="21"/>
      <c r="F55" s="20"/>
      <c r="G55" s="21">
        <f>42/1.93627+1</f>
        <v>22.691189761758434</v>
      </c>
      <c r="H55" s="20"/>
      <c r="I55" s="21"/>
      <c r="J55" s="20"/>
      <c r="K55" s="21"/>
      <c r="L55" s="20"/>
      <c r="M55" s="21"/>
      <c r="N55" s="20"/>
      <c r="O55" s="21"/>
      <c r="P55" s="20"/>
      <c r="Q55" s="21"/>
      <c r="R55" s="20"/>
      <c r="S55" s="21"/>
      <c r="AO55" s="20"/>
      <c r="AP55" s="21"/>
    </row>
    <row r="56" spans="1:42" ht="12.75">
      <c r="A56" s="19" t="s">
        <v>25</v>
      </c>
      <c r="B56" s="20"/>
      <c r="C56" s="21"/>
      <c r="D56" s="20"/>
      <c r="E56" s="21"/>
      <c r="F56" s="20"/>
      <c r="G56" s="21">
        <f>800/1.93627</f>
        <v>413.1655192715892</v>
      </c>
      <c r="H56" s="20"/>
      <c r="I56" s="21"/>
      <c r="J56" s="20"/>
      <c r="K56" s="21"/>
      <c r="L56" s="20"/>
      <c r="M56" s="21"/>
      <c r="N56" s="20"/>
      <c r="O56" s="21"/>
      <c r="P56" s="20"/>
      <c r="Q56" s="21"/>
      <c r="R56" s="20"/>
      <c r="S56" s="21"/>
      <c r="AO56" s="20"/>
      <c r="AP56" s="21"/>
    </row>
    <row r="57" spans="1:42" ht="12.75">
      <c r="A57" s="25" t="s">
        <v>19</v>
      </c>
      <c r="B57" s="28">
        <f>SUM(B7:B49)</f>
        <v>22376.011609951092</v>
      </c>
      <c r="C57" s="34"/>
      <c r="D57" s="28">
        <f>SUM(D7:D49)</f>
        <v>23976.51154022941</v>
      </c>
      <c r="E57" s="34"/>
      <c r="F57" s="28">
        <f>SUM(F7:F49)</f>
        <v>27477.693400197284</v>
      </c>
      <c r="G57" s="34"/>
      <c r="H57" s="28">
        <f>SUM(H7:H49)</f>
        <v>28627.493706972684</v>
      </c>
      <c r="I57" s="34"/>
      <c r="J57" s="28">
        <f>SUM(J7:J49)</f>
        <v>30113</v>
      </c>
      <c r="K57" s="34"/>
      <c r="L57" s="28">
        <f>SUM(L7:L49)</f>
        <v>31748</v>
      </c>
      <c r="M57" s="34"/>
      <c r="N57" s="28">
        <f>SUM(N7:N49)</f>
        <v>31988</v>
      </c>
      <c r="O57" s="34"/>
      <c r="P57" s="28">
        <f>SUM(P7:P49)</f>
        <v>33320</v>
      </c>
      <c r="Q57" s="34"/>
      <c r="R57" s="28">
        <f>SUM(R7:R49)</f>
        <v>33340</v>
      </c>
      <c r="S57" s="34"/>
      <c r="AO57" s="26" t="e">
        <f>SUM(AO7:AO49)</f>
        <v>#REF!</v>
      </c>
      <c r="AP57" s="27"/>
    </row>
    <row r="58" spans="1:19" ht="4.5" customHeight="1">
      <c r="A58" s="29"/>
      <c r="B58" s="46"/>
      <c r="C58" s="38"/>
      <c r="D58" s="46"/>
      <c r="E58" s="38"/>
      <c r="F58" s="46"/>
      <c r="G58" s="38"/>
      <c r="H58" s="46"/>
      <c r="I58" s="38"/>
      <c r="J58" s="46"/>
      <c r="K58" s="38"/>
      <c r="L58" s="46"/>
      <c r="M58" s="38"/>
      <c r="N58" s="46"/>
      <c r="O58" s="38"/>
      <c r="P58" s="46"/>
      <c r="Q58" s="38"/>
      <c r="R58" s="46"/>
      <c r="S58" s="38"/>
    </row>
    <row r="59" spans="1:42" ht="12.75">
      <c r="A59" s="45" t="s">
        <v>60</v>
      </c>
      <c r="B59" s="51">
        <f>20/1.93627</f>
        <v>10.32913798178973</v>
      </c>
      <c r="C59" s="37"/>
      <c r="D59" s="47">
        <f>22/1.93627</f>
        <v>11.362051779968704</v>
      </c>
      <c r="E59" s="37"/>
      <c r="F59" s="47">
        <f>30/1.93627</f>
        <v>15.493706972684596</v>
      </c>
      <c r="G59" s="37"/>
      <c r="H59" s="47">
        <f>332/1.93627</f>
        <v>171.4636904977095</v>
      </c>
      <c r="I59" s="49">
        <v>4</v>
      </c>
      <c r="J59" s="47">
        <f>6+232</f>
        <v>238</v>
      </c>
      <c r="K59" s="37"/>
      <c r="L59" s="47">
        <f>342-60-87</f>
        <v>195</v>
      </c>
      <c r="M59" s="49"/>
      <c r="N59" s="47">
        <f>589+79</f>
        <v>668</v>
      </c>
      <c r="O59" s="49"/>
      <c r="P59" s="47">
        <v>257</v>
      </c>
      <c r="Q59" s="49"/>
      <c r="R59" s="47">
        <v>340</v>
      </c>
      <c r="S59" s="49"/>
      <c r="AO59" s="31" t="e">
        <f>+#REF!-#REF!</f>
        <v>#REF!</v>
      </c>
      <c r="AP59" s="32"/>
    </row>
    <row r="60" spans="1:41" ht="5.25" customHeight="1">
      <c r="A60" s="29"/>
      <c r="B60" s="3"/>
      <c r="D60" s="3"/>
      <c r="E60" s="4"/>
      <c r="F60" s="3"/>
      <c r="G60" s="4"/>
      <c r="H60" s="3"/>
      <c r="I60" s="50"/>
      <c r="J60" s="3"/>
      <c r="K60" s="4"/>
      <c r="L60" s="3"/>
      <c r="M60" s="4"/>
      <c r="N60" s="3"/>
      <c r="O60" s="4"/>
      <c r="P60" s="3"/>
      <c r="Q60" s="4"/>
      <c r="R60" s="3"/>
      <c r="S60" s="4"/>
      <c r="AO60" s="3"/>
    </row>
    <row r="61" spans="1:42" ht="12.75">
      <c r="A61" s="45" t="s">
        <v>21</v>
      </c>
      <c r="B61" s="51">
        <f>430/1.93627</f>
        <v>222.0764666084792</v>
      </c>
      <c r="C61" s="49">
        <v>1</v>
      </c>
      <c r="D61" s="47">
        <f>1024/1.93627</f>
        <v>528.8518646676342</v>
      </c>
      <c r="E61" s="49">
        <v>2</v>
      </c>
      <c r="F61" s="47">
        <f>1842/1.93627</f>
        <v>951.3136081228341</v>
      </c>
      <c r="G61" s="49">
        <v>3</v>
      </c>
      <c r="H61" s="47">
        <f>1364/1.93627</f>
        <v>704.4472103580596</v>
      </c>
      <c r="I61" s="49">
        <v>5</v>
      </c>
      <c r="J61" s="47">
        <f>1287-6</f>
        <v>1281</v>
      </c>
      <c r="K61" s="49"/>
      <c r="L61" s="47">
        <v>87</v>
      </c>
      <c r="M61" s="49"/>
      <c r="N61" s="47"/>
      <c r="O61" s="49"/>
      <c r="P61" s="47"/>
      <c r="Q61" s="49"/>
      <c r="R61" s="47"/>
      <c r="S61" s="49"/>
      <c r="AO61" s="31" t="e">
        <f>+#REF!-#REF!</f>
        <v>#REF!</v>
      </c>
      <c r="AP61" s="33" t="s">
        <v>20</v>
      </c>
    </row>
    <row r="62" spans="1:41" ht="5.25" customHeight="1">
      <c r="A62" s="29"/>
      <c r="B62" s="3"/>
      <c r="D62" s="3"/>
      <c r="E62" s="4"/>
      <c r="F62" s="3"/>
      <c r="G62" s="4"/>
      <c r="H62" s="3"/>
      <c r="I62" s="4"/>
      <c r="J62" s="3"/>
      <c r="K62" s="4"/>
      <c r="L62" s="3"/>
      <c r="M62" s="4"/>
      <c r="N62" s="3"/>
      <c r="O62" s="4"/>
      <c r="P62" s="3"/>
      <c r="Q62" s="4"/>
      <c r="R62" s="3"/>
      <c r="S62" s="4"/>
      <c r="AO62" s="3"/>
    </row>
    <row r="63" spans="1:42" ht="12.75">
      <c r="A63" s="30" t="s">
        <v>59</v>
      </c>
      <c r="B63" s="31">
        <f>+B61+B59+B57</f>
        <v>22608.41721454136</v>
      </c>
      <c r="C63" s="37"/>
      <c r="D63" s="31">
        <f>+D61+D59+D57</f>
        <v>24516.725456677013</v>
      </c>
      <c r="E63" s="37"/>
      <c r="F63" s="31">
        <f>+F61+F59+F57</f>
        <v>28444.5007152928</v>
      </c>
      <c r="G63" s="37"/>
      <c r="H63" s="31">
        <f>+H61+H59+H57</f>
        <v>29503.404607828452</v>
      </c>
      <c r="I63" s="37"/>
      <c r="J63" s="31">
        <f>+J61+J59+J57</f>
        <v>31632</v>
      </c>
      <c r="K63" s="37"/>
      <c r="L63" s="31">
        <f>+L61+L59+L57</f>
        <v>32030</v>
      </c>
      <c r="M63" s="37"/>
      <c r="N63" s="31">
        <f>+N61+N59+N57</f>
        <v>32656</v>
      </c>
      <c r="O63" s="37"/>
      <c r="P63" s="31">
        <f>+P61+P59+P57</f>
        <v>33577</v>
      </c>
      <c r="Q63" s="37"/>
      <c r="R63" s="31">
        <f>+R61+R59+R57</f>
        <v>33680</v>
      </c>
      <c r="S63" s="37"/>
      <c r="AO63" s="31" t="e">
        <f>+AO61+AO59+AO57</f>
        <v>#REF!</v>
      </c>
      <c r="AP63" s="32"/>
    </row>
    <row r="64" ht="5.25" customHeight="1">
      <c r="C64"/>
    </row>
    <row r="65" spans="1:42" ht="12.75">
      <c r="A65" s="30" t="s">
        <v>34</v>
      </c>
      <c r="B65" s="52">
        <f>+B63/$B$63*100</f>
        <v>100</v>
      </c>
      <c r="C65" s="37"/>
      <c r="D65" s="52">
        <f>+D63/$B$63*100</f>
        <v>108.44069809941521</v>
      </c>
      <c r="E65" s="37"/>
      <c r="F65" s="52">
        <f>+F63/$B$63*100</f>
        <v>125.81376416301167</v>
      </c>
      <c r="G65" s="37"/>
      <c r="H65" s="52">
        <f>+H63/$B$63*100</f>
        <v>130.49743521564326</v>
      </c>
      <c r="I65" s="37"/>
      <c r="J65" s="52">
        <f>+J63/$B$63*100</f>
        <v>139.9124923245614</v>
      </c>
      <c r="K65" s="37"/>
      <c r="L65" s="52">
        <f>+L63/$B$63*100</f>
        <v>141.67289862024853</v>
      </c>
      <c r="M65" s="37"/>
      <c r="N65" s="52">
        <f>+N63/$B$63*100</f>
        <v>144.441778874269</v>
      </c>
      <c r="O65" s="37"/>
      <c r="P65" s="52">
        <f>+P63/$B$63*100</f>
        <v>148.51548289016813</v>
      </c>
      <c r="Q65" s="37"/>
      <c r="R65" s="52">
        <f>+R63/$B$63*100</f>
        <v>148.9710654239766</v>
      </c>
      <c r="S65" s="37"/>
      <c r="AO65" s="31">
        <f>+AO62+AO60+AO58</f>
        <v>0</v>
      </c>
      <c r="AP65" s="32"/>
    </row>
    <row r="66" spans="1:42" ht="12.75">
      <c r="A66" s="30" t="s">
        <v>33</v>
      </c>
      <c r="B66" s="52">
        <v>100</v>
      </c>
      <c r="C66" s="37"/>
      <c r="D66" s="52">
        <v>101.8</v>
      </c>
      <c r="E66" s="37"/>
      <c r="F66" s="52">
        <v>104.3</v>
      </c>
      <c r="G66" s="53"/>
      <c r="H66" s="52">
        <v>107</v>
      </c>
      <c r="I66" s="53"/>
      <c r="J66" s="52">
        <v>109.6</v>
      </c>
      <c r="K66" s="53"/>
      <c r="L66" s="52">
        <v>111.7</v>
      </c>
      <c r="M66" s="53"/>
      <c r="N66" s="52">
        <v>113.5</v>
      </c>
      <c r="O66" s="53"/>
      <c r="P66" s="52">
        <v>115.1</v>
      </c>
      <c r="Q66" s="53"/>
      <c r="R66" s="52">
        <v>117.5</v>
      </c>
      <c r="S66" s="53"/>
      <c r="AO66" s="31" t="e">
        <f>+AO63+AO61+AO59</f>
        <v>#REF!</v>
      </c>
      <c r="AP66" s="32"/>
    </row>
    <row r="67" spans="1:7" s="3" customFormat="1" ht="12.75">
      <c r="A67" s="48" t="s">
        <v>53</v>
      </c>
      <c r="B67"/>
      <c r="C67"/>
      <c r="D67" s="29"/>
      <c r="F67" s="4"/>
      <c r="G67"/>
    </row>
    <row r="68" spans="1:7" s="3" customFormat="1" ht="12.75">
      <c r="A68" s="48" t="s">
        <v>54</v>
      </c>
      <c r="B68"/>
      <c r="C68"/>
      <c r="F68"/>
      <c r="G68"/>
    </row>
    <row r="69" spans="1:5" ht="15" customHeight="1">
      <c r="A69" s="48" t="s">
        <v>55</v>
      </c>
      <c r="C69"/>
      <c r="E69" s="4"/>
    </row>
    <row r="70" spans="1:3" ht="15" customHeight="1">
      <c r="A70" s="48" t="s">
        <v>56</v>
      </c>
      <c r="C70"/>
    </row>
    <row r="71" spans="1:3" ht="15" customHeight="1">
      <c r="A71" s="48" t="s">
        <v>57</v>
      </c>
      <c r="C71"/>
    </row>
    <row r="72" spans="1:13" ht="15" customHeight="1">
      <c r="A72" s="58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</row>
    <row r="73" ht="12.75">
      <c r="C73"/>
    </row>
    <row r="74" spans="1:3" ht="15" customHeight="1">
      <c r="A74" s="39"/>
      <c r="C74"/>
    </row>
    <row r="75" spans="1:3" ht="15" customHeight="1">
      <c r="A75" s="39"/>
      <c r="C75"/>
    </row>
    <row r="76" ht="12.75">
      <c r="C76"/>
    </row>
    <row r="77" spans="1:3" ht="15" customHeight="1">
      <c r="A77" s="39"/>
      <c r="C77"/>
    </row>
    <row r="78" spans="1:3" ht="15" customHeight="1">
      <c r="A78" s="39"/>
      <c r="C78"/>
    </row>
    <row r="79" ht="12.75">
      <c r="C79"/>
    </row>
    <row r="80" spans="1:3" ht="15" customHeight="1">
      <c r="A80" s="39"/>
      <c r="C80"/>
    </row>
    <row r="81" spans="1:3" ht="15" customHeight="1">
      <c r="A81" s="39"/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</sheetData>
  <mergeCells count="1">
    <mergeCell ref="A72:M72"/>
  </mergeCells>
  <printOptions/>
  <pageMargins left="1.21" right="0.21" top="0.28" bottom="0.18" header="0.23" footer="0.11"/>
  <pageSetup horizontalDpi="600" verticalDpi="600" orientation="landscape" paperSize="9" scale="95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rcorsini</cp:lastModifiedBy>
  <cp:lastPrinted>2005-06-10T08:40:40Z</cp:lastPrinted>
  <dcterms:created xsi:type="dcterms:W3CDTF">1999-02-19T11:32:50Z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