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598" activeTab="0"/>
  </bookViews>
  <sheets>
    <sheet name="riepilogo" sheetId="1" r:id="rId1"/>
    <sheet name="analisi finanziamenti" sheetId="2" r:id="rId2"/>
    <sheet name="riep_settori" sheetId="3" r:id="rId3"/>
    <sheet name="riep2_quartieri" sheetId="4" r:id="rId4"/>
    <sheet name="socio_sanitario1" sheetId="5" r:id="rId5"/>
    <sheet name="socio_sanitario2" sheetId="6" r:id="rId6"/>
    <sheet name="istruzione e sport" sheetId="7" r:id="rId7"/>
    <sheet name="cultura" sheetId="8" r:id="rId8"/>
    <sheet name="ambiente" sheetId="9" r:id="rId9"/>
    <sheet name="traffico" sheetId="10" r:id="rId10"/>
    <sheet name="patrimonio" sheetId="11" r:id="rId11"/>
    <sheet name="acquisti" sheetId="12" r:id="rId12"/>
    <sheet name="affari generali" sheetId="13" r:id="rId13"/>
    <sheet name="borgo panigale" sheetId="14" r:id="rId14"/>
    <sheet name="navile" sheetId="15" r:id="rId15"/>
    <sheet name="porto" sheetId="16" r:id="rId16"/>
    <sheet name="reno" sheetId="17" r:id="rId17"/>
    <sheet name="san donato" sheetId="18" r:id="rId18"/>
    <sheet name="santo stefano" sheetId="19" r:id="rId19"/>
    <sheet name="san vitale" sheetId="20" r:id="rId20"/>
    <sheet name="saragozza" sheetId="21" r:id="rId21"/>
    <sheet name="savena" sheetId="22" r:id="rId22"/>
    <sheet name="quartieri vari" sheetId="23" r:id="rId23"/>
  </sheets>
  <definedNames>
    <definedName name="_xlnm.Print_Area" localSheetId="11">'acquisti'!$A$1:$N$28</definedName>
    <definedName name="_xlnm.Print_Area" localSheetId="12">'affari generali'!$A$1:$N$32</definedName>
    <definedName name="_xlnm.Print_Area" localSheetId="8">'ambiente'!$A$1:$N$36</definedName>
    <definedName name="_xlnm.Print_Area" localSheetId="1">'analisi finanziamenti'!$A$1:$E$23</definedName>
    <definedName name="_xlnm.Print_Area" localSheetId="13">'borgo panigale'!$A$2:$N$18</definedName>
    <definedName name="_xlnm.Print_Area" localSheetId="7">'cultura'!$A$1:$N$58</definedName>
    <definedName name="_xlnm.Print_Area" localSheetId="6">'istruzione e sport'!$A$1:$N$42</definedName>
    <definedName name="_xlnm.Print_Area" localSheetId="14">'navile'!$A$1:$N$18</definedName>
    <definedName name="_xlnm.Print_Area" localSheetId="10">'patrimonio'!$A$1:$N$43</definedName>
    <definedName name="_xlnm.Print_Area" localSheetId="15">'porto'!$A$1:$N$21</definedName>
    <definedName name="_xlnm.Print_Area" localSheetId="22">'quartieri vari'!$A$1:$N$13</definedName>
    <definedName name="_xlnm.Print_Area" localSheetId="16">'reno'!$A$1:$N$14</definedName>
    <definedName name="_xlnm.Print_Area" localSheetId="2">'riep_settori'!$A$1:$K$61</definedName>
    <definedName name="_xlnm.Print_Area" localSheetId="3">'riep2_quartieri'!$A$1:$J$61</definedName>
    <definedName name="_xlnm.Print_Area" localSheetId="0">'riepilogo'!$A$1:$J$36</definedName>
    <definedName name="_xlnm.Print_Area" localSheetId="17">'san donato'!$A$1:$N$15</definedName>
    <definedName name="_xlnm.Print_Area" localSheetId="19">'san vitale'!$A$1:$N$19</definedName>
    <definedName name="_xlnm.Print_Area" localSheetId="18">'santo stefano'!$A$1:$N$15</definedName>
    <definedName name="_xlnm.Print_Area" localSheetId="20">'saragozza'!$A$1:$N$14</definedName>
    <definedName name="_xlnm.Print_Area" localSheetId="21">'savena'!$A$1:$N$19</definedName>
    <definedName name="_xlnm.Print_Area" localSheetId="4">'socio_sanitario1'!$A$1:$N$31</definedName>
    <definedName name="_xlnm.Print_Area" localSheetId="5">'socio_sanitario2'!$A$1:$N$19</definedName>
    <definedName name="_xlnm.Print_Area" localSheetId="9">'traffico'!$A$1:$N$50</definedName>
    <definedName name="_xlnm.Print_Titles" localSheetId="11">'acquisti'!$1:$6</definedName>
    <definedName name="_xlnm.Print_Titles" localSheetId="12">'affari generali'!$1:$6</definedName>
    <definedName name="_xlnm.Print_Titles" localSheetId="8">'ambiente'!$1:$6</definedName>
    <definedName name="_xlnm.Print_Titles" localSheetId="13">'borgo panigale'!$1:$6</definedName>
    <definedName name="_xlnm.Print_Titles" localSheetId="7">'cultura'!$1:$6</definedName>
    <definedName name="_xlnm.Print_Titles" localSheetId="6">'istruzione e sport'!$1:$6</definedName>
    <definedName name="_xlnm.Print_Titles" localSheetId="14">'navile'!$1:$6</definedName>
    <definedName name="_xlnm.Print_Titles" localSheetId="10">'patrimonio'!$1:$6</definedName>
    <definedName name="_xlnm.Print_Titles" localSheetId="15">'porto'!$1:$6</definedName>
    <definedName name="_xlnm.Print_Titles" localSheetId="22">'quartieri vari'!$1:$6</definedName>
    <definedName name="_xlnm.Print_Titles" localSheetId="16">'reno'!$1:$6</definedName>
    <definedName name="_xlnm.Print_Titles" localSheetId="2">'riep_settori'!$1:$6</definedName>
    <definedName name="_xlnm.Print_Titles" localSheetId="3">'riep2_quartieri'!$1:$6</definedName>
    <definedName name="_xlnm.Print_Titles" localSheetId="17">'san donato'!$1:$6</definedName>
    <definedName name="_xlnm.Print_Titles" localSheetId="19">'san vitale'!$1:$6</definedName>
    <definedName name="_xlnm.Print_Titles" localSheetId="18">'santo stefano'!$1:$6</definedName>
    <definedName name="_xlnm.Print_Titles" localSheetId="20">'saragozza'!$1:$6</definedName>
    <definedName name="_xlnm.Print_Titles" localSheetId="21">'savena'!$1:$6</definedName>
    <definedName name="_xlnm.Print_Titles" localSheetId="4">'socio_sanitario1'!$1:$6</definedName>
    <definedName name="_xlnm.Print_Titles" localSheetId="9">'traffico'!$1:$6</definedName>
  </definedNames>
  <calcPr fullCalcOnLoad="1"/>
</workbook>
</file>

<file path=xl/sharedStrings.xml><?xml version="1.0" encoding="utf-8"?>
<sst xmlns="http://schemas.openxmlformats.org/spreadsheetml/2006/main" count="1948" uniqueCount="482">
  <si>
    <t xml:space="preserve">Piste ciclabili </t>
  </si>
  <si>
    <t>Area Lungo Reno: lavori di conferimento  a discarica materiali</t>
  </si>
  <si>
    <t>Patrimonio</t>
  </si>
  <si>
    <t>Rinnovo contenitori termici per servizio prod. pasti</t>
  </si>
  <si>
    <t>Progetto "Arredi, attrezz. e altri beni mobili per i servizi com.li"</t>
  </si>
  <si>
    <t>Acquisto arredi per istituzioni scolastiche/nidi</t>
  </si>
  <si>
    <t>24/7/201</t>
  </si>
  <si>
    <t>Manutenzione percorsi ciclo-pedonali</t>
  </si>
  <si>
    <t xml:space="preserve">    - manut. straord. strutture di prima accoglienza e campi nomadi</t>
  </si>
  <si>
    <t xml:space="preserve"> - messa in sicurezza edificio di via delle Bisce</t>
  </si>
  <si>
    <t>Acquisto del campo sportivo denominato Savena</t>
  </si>
  <si>
    <t>C.C.n.280</t>
  </si>
  <si>
    <t xml:space="preserve">   - realizz. nuovo mercato rionale S.Vincenzi  nel Q.re S.Vitale</t>
  </si>
  <si>
    <t>Permuta di strisce di terreno in Via Viadagola</t>
  </si>
  <si>
    <t>C.C.n.231</t>
  </si>
  <si>
    <t>Permuta con conguaglio a sfavore del Comune di 19 milioni  (34 milioni di esborso contro introito di 14 milioni)</t>
  </si>
  <si>
    <t>Acquisto immobile in via Guelfa per accoglienza cittadini pakistani</t>
  </si>
  <si>
    <t>C.C.n.254</t>
  </si>
  <si>
    <t>- acquisto autoveicoli per la Polizia Municipale</t>
  </si>
  <si>
    <t>Edificio di via Zanardi 210/212/214: allacciamenti forniture elettricità, gas, acqua nell'ambito del risanamento del fabbricato</t>
  </si>
  <si>
    <t>Realizz. elementi di sicurezza all'interno dell'edificio di via Polese 3</t>
  </si>
  <si>
    <t>Rotatoria vie Ortolani, Arno, Firenze</t>
  </si>
  <si>
    <t xml:space="preserve">Permuta di terreni </t>
  </si>
  <si>
    <t>C.C.n.162</t>
  </si>
  <si>
    <t>Permuta con conguaglio a sfavore del Comune di 11 milioni  (775 milioni di esborso contro introito di 764 milioni)</t>
  </si>
  <si>
    <t>Scuole  Dozza: posa impianto antintrusione recuperato da altre scuole</t>
  </si>
  <si>
    <t>Corte di appello del tribunale: manut. straord. sistema antintrusione di alcuni uffici</t>
  </si>
  <si>
    <t>Saggi e opere murarie finalizzati alla redazione dei progetti per il completamento delle dotazioni tecnologiche</t>
  </si>
  <si>
    <t>Lavori urgenti negli impianti di telecontrollo installati nelle centrali termiche dei fabbricati comunali</t>
  </si>
  <si>
    <t>Lavori per il miglioramento e la valorizzazione del patrimonio culturale del Comune</t>
  </si>
  <si>
    <t xml:space="preserve">Dec. G.M. 20/2/2001 </t>
  </si>
  <si>
    <t xml:space="preserve">Manifattura Tabacchi: forniture a completamento allestimenti della cineteca </t>
  </si>
  <si>
    <t>Acquisto condizionatori per uffici LL.PP.</t>
  </si>
  <si>
    <t>Realizz. nucleo abitativo per famiglie nomadi in via Larga: ulteriore variante</t>
  </si>
  <si>
    <t xml:space="preserve">Ribasso d'asta  </t>
  </si>
  <si>
    <t>Rifacimento rete di recinzione e relativi collegamenti pedonali presso la piscina Spiraglio e ristrutturazione zona deposito e distribuzione acidi piscina Stadio</t>
  </si>
  <si>
    <t>Interventi nei locali di via dell'Industria a servizio del Teatro</t>
  </si>
  <si>
    <t>Lavori in economia di manutenzione di parte del cortile del Pozzo di Palazzo Comunale</t>
  </si>
  <si>
    <t>Acquisto area a parco pubblico nel P.P. R.5.5 Fossolo</t>
  </si>
  <si>
    <t>Acq. a parziale scomputo oneri urb. secondaria e contributo costo di costruzione</t>
  </si>
  <si>
    <t>Nido e scuola dell'infanzia Anna Frank: variante</t>
  </si>
  <si>
    <t>Servizio ferroviario metropolitano di Borgo Panigale: variante per maggiori lavori</t>
  </si>
  <si>
    <t>Centro sociale Casa del Gufo: ristrutt. e messa a norma</t>
  </si>
  <si>
    <t>Settore Coordinamento Servizi Sociali</t>
  </si>
  <si>
    <t>Settore Salute e Qualità della vita</t>
  </si>
  <si>
    <t>Settore  Territorio e Riqualificazione Urbana</t>
  </si>
  <si>
    <t>Settore Territorio e Riqualificazione Urbana</t>
  </si>
  <si>
    <t>Progetto "Realizzazione interventi di riqualificazione del verde e di parchi a valenza cittadina"</t>
  </si>
  <si>
    <t>Progetto "Realizzazione interventi di riqualificazione del verde e di parchi a valenza di quartiere"</t>
  </si>
  <si>
    <t>Cimitero Certosa: Ristrutturazione obitorio</t>
  </si>
  <si>
    <t>Interventi su centri di prima accoglienza</t>
  </si>
  <si>
    <t>Progetto "Manut. straord. e adeg. norm. edifici di propr. comunale"</t>
  </si>
  <si>
    <t>Interventi di manutenzione straordinaria del verde</t>
  </si>
  <si>
    <t>Asse attrezzato Lungo Savena (dalla Tangenziale al Centro Agroalimentare): II  lotto funzionale</t>
  </si>
  <si>
    <t>Q.re San Vitale: ex convento San Giacomo - interventi diversi per Conservatorio e civico museo bibliografico musicale</t>
  </si>
  <si>
    <t>Progetto "Qualità urbana: riqualif. Mercati rionali cittadini"</t>
  </si>
  <si>
    <t>Mercato di via Tartini (q.re San Donato): sistemazione</t>
  </si>
  <si>
    <t>Piano poliennale dei lavori pubblici e degli investimenti 2001 - Dati di consuntivo al 31 dicembre</t>
  </si>
  <si>
    <t>Recupero del parco Pasolini</t>
  </si>
  <si>
    <t>Centro di prima accoglienza via Fioravanti 22: manut. straord.</t>
  </si>
  <si>
    <t>Manut. straord. e consolidamento strutturale edifici  comunali (compresi impianti speciali)</t>
  </si>
  <si>
    <t>Progetto "Polo Culturale ex Manifattura Tabacchi"</t>
  </si>
  <si>
    <t>Giardini di quartiere:</t>
  </si>
  <si>
    <t>Riqualificazione aree urbane:</t>
  </si>
  <si>
    <t>Manutenzione straordinaria, adeg. funzionale e interventi per la sicurezza stradale su strade e marciapiedi</t>
  </si>
  <si>
    <t xml:space="preserve"> - Manut. straord. nelle strade comunali: interventi vari</t>
  </si>
  <si>
    <t>Centro sportivo Arcoveggio: manutenzione straordinaria</t>
  </si>
  <si>
    <t>Progetto "Istituti medi comunali"</t>
  </si>
  <si>
    <t>Progetto "Ex Sala Borsa"</t>
  </si>
  <si>
    <t>Biblioteca multimediale ex Sala Borsa: lavori di completamento</t>
  </si>
  <si>
    <t>Acquisto arredi e attrezzature per uffici e servizi</t>
  </si>
  <si>
    <t>Sostituzione mezzi di trasporto per adeguamento a normative nazionali ed europee</t>
  </si>
  <si>
    <t>Ristrutturazione ex cinema Ambasciatori</t>
  </si>
  <si>
    <t>Lavori di consolidamento uffici comunali di via Oberdan</t>
  </si>
  <si>
    <t>Manut. straord.  impianti sportivi</t>
  </si>
  <si>
    <t>biblioteca  via  Pietralata</t>
  </si>
  <si>
    <t xml:space="preserve">Manut. straord. biblioteche di quartiere </t>
  </si>
  <si>
    <t>Contr.Reg.+</t>
  </si>
  <si>
    <t>Quartieri vari</t>
  </si>
  <si>
    <t>Progetto "Manutenzione straordinaria di 
edifici scolastici"</t>
  </si>
  <si>
    <t>Ristrutt. edificio sito in via S.Carlo 37</t>
  </si>
  <si>
    <t>Manut. straord., adeguam. e potenziamento impianti semaforici e apparati tecnologici di monitoraggio</t>
  </si>
  <si>
    <t>Scuola dell'infanzia ed elem. Sanzio: manut. straord.</t>
  </si>
  <si>
    <t>Q.re San Vitale: interventi di manutenzione straordinaria edifici scolastici</t>
  </si>
  <si>
    <t xml:space="preserve"> - Manut. straord. nelle strade comunali di scorrimento</t>
  </si>
  <si>
    <t xml:space="preserve"> - Manut. straord. su strade e marciapiedi comunali  </t>
  </si>
  <si>
    <t xml:space="preserve"> - Manut. straord. strade comunali del centro storico</t>
  </si>
  <si>
    <t xml:space="preserve"> - Manut. straord. Vie A.Costa, Corticella, Mattei, Don Minzoni, dei Mille e Pietramellara</t>
  </si>
  <si>
    <t xml:space="preserve"> - Interventi a completamento controllo varchi di accesso  nell'ambito della riqual. urbana  di alcuni comparti del centro storico</t>
  </si>
  <si>
    <t xml:space="preserve"> - Ulteriori forniture per controllo  accessi veicolari  nell'ambito della riqual. urbana  di alcuni comparti del centro storico</t>
  </si>
  <si>
    <t>Q.re San Donato: Centro per handicappati adulti via del Pilastro - forntura materiali elettrici</t>
  </si>
  <si>
    <t>Ristrutturazione servizi igienici pubblici</t>
  </si>
  <si>
    <t>Q.re San Donato: Zis Fiera - opere di infrastrutture generali</t>
  </si>
  <si>
    <t>G.M.n.661</t>
  </si>
  <si>
    <t>G.M.n.660</t>
  </si>
  <si>
    <t>Istituto Aldini-Sirani: acquisto attrezzature per laboratori</t>
  </si>
  <si>
    <t>Campo di calcio A. Mario: manut. straord. spogliatoi e servizi annessi</t>
  </si>
  <si>
    <t>Titolo I</t>
  </si>
  <si>
    <t>Progetto "Nidi d'infanzia"</t>
  </si>
  <si>
    <t>Implementazione URP-SAT nel q.re S.Stefano</t>
  </si>
  <si>
    <t>D.Dir</t>
  </si>
  <si>
    <t>Manutenzione per adeguamento e messa a norma di locali di proprietà comunale</t>
  </si>
  <si>
    <t xml:space="preserve">Centro polifunzionale Baldini: lavori urgenti </t>
  </si>
  <si>
    <t>Scuole elementari Morandi e Drusiani</t>
  </si>
  <si>
    <t>Scuola elem. Don Minzoni: manut. straord.</t>
  </si>
  <si>
    <t>Nuove scuole Chiostri: lavori all'impianto di riscaldamento</t>
  </si>
  <si>
    <t>Nuovo servizio educativo A.Frank: fornitura arredi scolastici</t>
  </si>
  <si>
    <t xml:space="preserve">Nido A.Frank: interventi di completamento </t>
  </si>
  <si>
    <t>Progetto "Centri civici e uffici di quartiere"</t>
  </si>
  <si>
    <t>Centro civico Saragozza: murature e solai</t>
  </si>
  <si>
    <t>Scuole elem. J.Piaget: lavori di adeguamento per la sicurezza</t>
  </si>
  <si>
    <t>Complesso scolastico De Amicis: variante con nuovi prezzi</t>
  </si>
  <si>
    <t>Utilizzo ribasso d'asta</t>
  </si>
  <si>
    <t>Sistema di videosorveglianza in Piazza Verdi: variante in aumento</t>
  </si>
  <si>
    <t>Cimitero Borgo Panigale: variante nell'ambito dei lavori di ampliamento del fabbricato per loculi e ossari</t>
  </si>
  <si>
    <t>Ex convento di S.Cristina: ulteriori spese</t>
  </si>
  <si>
    <t xml:space="preserve">    - manut. straord. C.S. Arcoveggio, palestra Corticella, campo baseball Pilastro, palestra boxe Bononia</t>
  </si>
  <si>
    <t>L.R. 2/85</t>
  </si>
  <si>
    <t>Fondo per incremento del patrimonio museale</t>
  </si>
  <si>
    <t>Realizzazione impianto illuminazione pubblica comparto R3.12 ex ICO</t>
  </si>
  <si>
    <t>Rifugio della solidarietà via del Gomito: nuovo condotto fognario</t>
  </si>
  <si>
    <t>Interventi vari su uffici giudiziari: riqualificazione e messa a norma</t>
  </si>
  <si>
    <t>Chiesa di San Girolamo: lavori urgenti</t>
  </si>
  <si>
    <t>Manutenzione straordinaria e ampliamento edifici per trasferimento attività giovanili</t>
  </si>
  <si>
    <t>Q.re S. Stefano: Biblioteca Archiginnasio - fornitura e posa in opera apparecchiature antincendio</t>
  </si>
  <si>
    <t>Giardini Margherita: ricostruzione capanna villanoviana</t>
  </si>
  <si>
    <t>Ristrutturazione del corpo di fabbrica novecentesco annesso a Palazzo Baciocchi</t>
  </si>
  <si>
    <t>Centro di prima accoglienza via Bassa dei Sassi: realizzazione (q.re San Donato)</t>
  </si>
  <si>
    <t xml:space="preserve">Impianto sportivo dello Stadio Dall'Ara: interventi di modifica dell'allacciamento energia elettrica a servizio delle piscine </t>
  </si>
  <si>
    <t>Residui di Boc</t>
  </si>
  <si>
    <t>Centro di prima accoglienza via del Lazzaretto: realizzazione (q.re Navile)</t>
  </si>
  <si>
    <t>Palestre scuola media Gandino: manutenzione straordinaria</t>
  </si>
  <si>
    <t>Approvazione progetto esecutivo</t>
  </si>
  <si>
    <t>Approvazione finanziamento</t>
  </si>
  <si>
    <t xml:space="preserve">Ricorso al credito (mutuo / BOC) </t>
  </si>
  <si>
    <t xml:space="preserve">Riepilogo generale </t>
  </si>
  <si>
    <t>Importo</t>
  </si>
  <si>
    <t>Fonte finanzia-mento</t>
  </si>
  <si>
    <t>Estremi dell'atto</t>
  </si>
  <si>
    <t>Data</t>
  </si>
  <si>
    <t>Progetto approvato nel 2000</t>
  </si>
  <si>
    <t>Acquisto area interessata alla realizzazione prolungamento Asse Sud-Ovest</t>
  </si>
  <si>
    <t>Vendita</t>
  </si>
  <si>
    <t>G.M.n.62</t>
  </si>
  <si>
    <t>Contr.Univ.</t>
  </si>
  <si>
    <t>D.Dir.</t>
  </si>
  <si>
    <t xml:space="preserve">Trasferimento attività attualmente ospitate c/o ex Forno del Pane: </t>
  </si>
  <si>
    <t>Oneri</t>
  </si>
  <si>
    <t>Vendita +</t>
  </si>
  <si>
    <t>Contr.Reg.</t>
  </si>
  <si>
    <t>Biblioteca Saffi: completamento arredi</t>
  </si>
  <si>
    <t>Oneri+</t>
  </si>
  <si>
    <t>Palazzo Comunale: fornitura e posa nuovo ascensore</t>
  </si>
  <si>
    <t>Boc</t>
  </si>
  <si>
    <t>Complesso scolastico Don Milani: insonorizzazione locali refezione</t>
  </si>
  <si>
    <t>Mutuo</t>
  </si>
  <si>
    <t>Ribasso d'asta</t>
  </si>
  <si>
    <t>Studentato di via Larga: completamento lavori</t>
  </si>
  <si>
    <t>Collezioni Comunali: manutenzione sala 20</t>
  </si>
  <si>
    <t>Residui di mutuo</t>
  </si>
  <si>
    <t>Scuole de Amicis (Q.re Porto) e scuole Marconi (q.re S.Stefano): fornitura arredi</t>
  </si>
  <si>
    <t>G.M.n.155</t>
  </si>
  <si>
    <t>Interventi vari</t>
  </si>
  <si>
    <t>Interventi in alcune strade dei q.ri Porto, Saragozza, S.Stefano e S.Vitale</t>
  </si>
  <si>
    <t>Ristrutt. e messa a norma impianti e cabine di illum. pubblica</t>
  </si>
  <si>
    <t>G.M.n.174</t>
  </si>
  <si>
    <t xml:space="preserve">Progetto "Nidi d'infanzia" </t>
  </si>
  <si>
    <t>Plesso integrato per la prima infanzia di via Azzogardino: attrezzature per preparazione pasti</t>
  </si>
  <si>
    <t>G.M.n.192</t>
  </si>
  <si>
    <t xml:space="preserve">    - manut. straord. edifici scolastici: ulteriore spesa</t>
  </si>
  <si>
    <t xml:space="preserve">    - manut. straord. edifici di proprietà comunale: ulteriore spesa</t>
  </si>
  <si>
    <t>G.M.n.193</t>
  </si>
  <si>
    <t>G.M.n.194</t>
  </si>
  <si>
    <t>Fornitura di magnetotermici di protezione</t>
  </si>
  <si>
    <t>Economie di mutuo</t>
  </si>
  <si>
    <t xml:space="preserve">Ex convento di S.Cristina: variante relativa ai lavori di completamento di locale tecnico annesso </t>
  </si>
  <si>
    <t>Scuola dell'infanzia Gida Rossi e nido part-time Amico Gattone: manut. straord. - variante in aumento</t>
  </si>
  <si>
    <t>Progetto "Nomadi"</t>
  </si>
  <si>
    <t>Ribasso d'asta  - Ridestinazione mutuo stipulato nel 1996 per realizz. campo sosta nomadi via del Crocione (2.250 milioni)</t>
  </si>
  <si>
    <t>Realizz. nucleo abitativo per famiglie nomadi in via Larga: variante e maggiore spesa per allacciamenti gas e acqua</t>
  </si>
  <si>
    <t>Progetto "Adeguamento rete fognaria e altri  interventi di  risanamento ambientale"</t>
  </si>
  <si>
    <t>Costruz. rete fognaria vie Tuscolano, Pallavicini, Scandellara, Terrapieno, Zambrini:  perizia di variante</t>
  </si>
  <si>
    <t>Restauro fontanella a fianco del Nettuno</t>
  </si>
  <si>
    <t>Acquisto area destinata a verde pubblico in Piazza del Baraccano</t>
  </si>
  <si>
    <t>C.C. n. 78</t>
  </si>
  <si>
    <t>Progetto "Centri diurni per anziani"</t>
  </si>
  <si>
    <t>Centro diurno per anziani di  via Campana: completamento e migliorie</t>
  </si>
  <si>
    <t>Q.re S.Vitale: Casa Gianni (s.a.t.) - ampliamento dell'esistente struttura polivalente</t>
  </si>
  <si>
    <t>Res. Disp. Fin. Orig.</t>
  </si>
  <si>
    <t>Palazzo d'Accursio: fornitura infissi all'entrata principale</t>
  </si>
  <si>
    <t>Entr.corr.</t>
  </si>
  <si>
    <t xml:space="preserve">Esproprio terreno in via Martelli: pagamento a transazione di controversia </t>
  </si>
  <si>
    <t>G.M.n.648</t>
  </si>
  <si>
    <t xml:space="preserve"> Q.re S. Vitale:  Centro universitario d'incontro e servizi P.zza Verdi (ex scuderie Bentivoglio): variante nell'ambito della realizz. di servizi agli studenti</t>
  </si>
  <si>
    <t>G.M.n.204</t>
  </si>
  <si>
    <t>Residuo di mutuo</t>
  </si>
  <si>
    <t xml:space="preserve"> Q.re S. Vitale:  Centro universitario d'incontro e servizi P.zza Verdi (ex scuderie Bentivoglio): variante in aumento nell'ambito del restauro affreschi al primo piano</t>
  </si>
  <si>
    <t>Mutuo+</t>
  </si>
  <si>
    <t>Boc+</t>
  </si>
  <si>
    <t>Utilizzo residui</t>
  </si>
  <si>
    <t>G.M.n.205</t>
  </si>
  <si>
    <t>Residui di mutui</t>
  </si>
  <si>
    <t>Palazzo Re Enzo-Podestà: adeg. tecnologico - variante  in aumento</t>
  </si>
  <si>
    <t>G.M.n.203</t>
  </si>
  <si>
    <t>Manut. straord. impianti semaforici</t>
  </si>
  <si>
    <t xml:space="preserve">    - bonifica ambientale in edifici di proprietà comunale</t>
  </si>
  <si>
    <t>TOTALE</t>
  </si>
  <si>
    <t>Contr.priv.</t>
  </si>
  <si>
    <t>Contributo FIPAV</t>
  </si>
  <si>
    <t>Piazza XX Settembre: variante in aumento</t>
  </si>
  <si>
    <t xml:space="preserve">Manifattura Tabacchi: forniture a completamento della cineteca </t>
  </si>
  <si>
    <t>Edificio di via Rivani (q.re San Vitale) da adibire ad "abitazione collettiva" - variante con nuovi prezzi</t>
  </si>
  <si>
    <t>Acquisto attrezzature informatiche per la Polizia Municipale</t>
  </si>
  <si>
    <t>Acquisto attrezzature informatiche per il Settore Acquisti</t>
  </si>
  <si>
    <t>- acquisto arredi e attrezzature</t>
  </si>
  <si>
    <t>Acquisto autovetture per il settore LL.PP.</t>
  </si>
  <si>
    <t>Avanzo</t>
  </si>
  <si>
    <t>Avanzo+</t>
  </si>
  <si>
    <t>Piazza XX Settembre: lavori urgenti relativi all'impianto di illuminazione</t>
  </si>
  <si>
    <t>BOC</t>
  </si>
  <si>
    <t>Utilizzo di residui</t>
  </si>
  <si>
    <t>Centro sportivo Arcoveggio: manutenzione straordinaria alla piscina Vandelli</t>
  </si>
  <si>
    <t>Palazzo Re Enzo-Podestà: lavori di pavimentazione in pietra serena nell'interrato</t>
  </si>
  <si>
    <t>Scuola media Volta: fornitura e posa infissi esterni</t>
  </si>
  <si>
    <t>Servizi educativi Mago Merlino e Viganò: lavori urgenti per la sicurezza</t>
  </si>
  <si>
    <t>Ex scuola media Jacopo della Quercia: fornitura e posa impianto antintrusione</t>
  </si>
  <si>
    <t>Servizio integrativo prima infanzia il Monello: manutenzione straordinaria</t>
  </si>
  <si>
    <t>Progetto "Scuole medie superiori"</t>
  </si>
  <si>
    <t>IFP Fioravanti: completamento lavori</t>
  </si>
  <si>
    <t xml:space="preserve">   - lavori in economia in palazzo Comunale per creazione uffici a servizio della Sala Borsa</t>
  </si>
  <si>
    <t>Scuola media Farini ed elementare Don Marella (Q.re Savena) e scuola media Pepoli (q.re S.Stefano): fornitura tre elevatori</t>
  </si>
  <si>
    <t xml:space="preserve">    -variante e ulteriori spese tecniche</t>
  </si>
  <si>
    <t xml:space="preserve">                  </t>
  </si>
  <si>
    <t>Giardino Gucci: adeg. percorso ciclo pedonale in corrispondenza delle scuole "Don Milani"</t>
  </si>
  <si>
    <t>Manut. straord. locali destinati a comando della Polizia Municipale in Palazzo d'Accursio</t>
  </si>
  <si>
    <t>Scuola media Pepoli: sostituzione pavimenti in alcuni locali</t>
  </si>
  <si>
    <t>Scuola media Farini: sostituzione pavimenti  spogliatoi palestre</t>
  </si>
  <si>
    <t>Plesso scolastico di via Caduti di Casteldebole (scuola dell'infanzia Gida Rossi e nido Amico Gattone): manut. straord. recinzione esterna</t>
  </si>
  <si>
    <t>Plesso scolastico di via Azzogardino: opere di recinzione esterna</t>
  </si>
  <si>
    <t>G.M.n.334</t>
  </si>
  <si>
    <t>Permuta di terreno ubicato nelle vie de Gasperi e Ducati per sistemazioni stradali e cortilive</t>
  </si>
  <si>
    <t>C.C.n.119</t>
  </si>
  <si>
    <t>P.R.U. Manifattura Tabacchi  - intervento finanziato con risorse a carico della contabilità speciale istituita ai sensi del DPR 367/94</t>
  </si>
  <si>
    <t>Progetto "Interventi per la casa"</t>
  </si>
  <si>
    <t>Acquisizioni, permute ed espropri diversi per pubblica utilità</t>
  </si>
  <si>
    <t>Complesso di via Zamboni 25: lavori per ripristino danni</t>
  </si>
  <si>
    <t xml:space="preserve">      - ripristino giardino Garibaldini di Spagna - q.re Porto</t>
  </si>
  <si>
    <t>Scuole medie Il Guercino (Q.re Savena) e Dozza (Q.re Reno): creazione spazi didattici integrativi</t>
  </si>
  <si>
    <t>Plesso via Monterumici (Dozza, Cavina, Marzabotto, Dall'Olio)</t>
  </si>
  <si>
    <t>Plesso via Asiago (Guinizzelli)</t>
  </si>
  <si>
    <t>Scuola dell'infanzia Gobetti: manut.straord.</t>
  </si>
  <si>
    <t>Scuola dell'infanzia XXI aprile: manut.straord.</t>
  </si>
  <si>
    <t>Scuola dell'infanzia L.Bassi: manut.straord.</t>
  </si>
  <si>
    <t>Scuola parcheggio per trasferimento scuola dell'infanzia Mazzini</t>
  </si>
  <si>
    <t>Scuola dell'infanzia Seragnoli: manut. straord.</t>
  </si>
  <si>
    <t>Manut. edificio via dell'Industria per creazione archivio per la Procura della Repubblica del Tribunale di Bologna</t>
  </si>
  <si>
    <t>Dec. G.M. 20/2/2001 oneri per Stabat Mater</t>
  </si>
  <si>
    <t>Centro civico Corticella: manut. straord. (compresa biblioteca) - I lotto</t>
  </si>
  <si>
    <t>Permuta con conguaglio a favore del Comune pari a L.25 mil. (22mil. di esborso contro L.47 mil. di entrata)</t>
  </si>
  <si>
    <t>Campo di atletica leggera Bauman: posa attrezzature per completamento interventi</t>
  </si>
  <si>
    <t>Res. Disp. Fin.orig.</t>
  </si>
  <si>
    <t>Manifattura Tabacchi: lavori a completamento della sala cinematografica</t>
  </si>
  <si>
    <t>Contr.Stato</t>
  </si>
  <si>
    <t>L.1552/61</t>
  </si>
  <si>
    <t>Nuova scuola elem. Croce Coperta: variante in corso d'opera e maggiore spesa</t>
  </si>
  <si>
    <t>Asilo nido Marzabotto: fornitura di componenti per la cucina</t>
  </si>
  <si>
    <t>Arredi per vari uffici del Settore LL.PP.</t>
  </si>
  <si>
    <t>Q.re S. Stefano: Biblioteca Archiginnasio - materiale elettrico per adeg. tecnologico</t>
  </si>
  <si>
    <t>Ex Istituto Sirani: lavori inerenti la centrale termica</t>
  </si>
  <si>
    <t>Demolizione porzione edificio ad uso uffici e magazzini nell'area dell'ex Mercato Ortofrutticolo</t>
  </si>
  <si>
    <t>Uilizzo residui</t>
  </si>
  <si>
    <t>Compl. lavori nell'edificio di proprietà comunale di via Polese 15/B (Q.re Porto)</t>
  </si>
  <si>
    <t>Ristrutt. edificio sito in via Arienti 11: var. in aumento</t>
  </si>
  <si>
    <t>Palazzo d'Accursio: adeg. funzionale - perizia di variante</t>
  </si>
  <si>
    <t>Lavori di completamento nuovo asilo nido Croce Coperta</t>
  </si>
  <si>
    <t>Progetto "Contratti di Quartiere - Zona Pescarola"</t>
  </si>
  <si>
    <t>Realizz. opere di urbanizzazione nell'area di via Selva Pescarola: variante in aumento</t>
  </si>
  <si>
    <t>Cimitero Borgo Panigale: nuovo ingresso e realizzazione parcheggio</t>
  </si>
  <si>
    <t>Completamento rinnovo impianto illuminazione pubblica zona Cirenaica</t>
  </si>
  <si>
    <t>Interventi urgenti negli impianti di pubblica illuminazione</t>
  </si>
  <si>
    <t>Q.re Navile: RSAH Caserme Rosse</t>
  </si>
  <si>
    <t>Dec. Giunta 20/2/2001 su oneri</t>
  </si>
  <si>
    <t>Lavori ex mercato di via Fioravanti per automezzi Carabinieri</t>
  </si>
  <si>
    <t>Campo nomadi Trebbo di Reno</t>
  </si>
  <si>
    <t>Manutenzione straordinaria alloggi di proprietà ex Stato</t>
  </si>
  <si>
    <t>Realizzazione sala per manifestazioni pubbliche in via Vezza</t>
  </si>
  <si>
    <t>Ripristini su viabilità a seguito di scavi eseguiti da terzi</t>
  </si>
  <si>
    <t>Asse attrezzato Sud-Ovest: perizia suppletiva</t>
  </si>
  <si>
    <t>Utilizzo ribasso d'asta c/mutuo</t>
  </si>
  <si>
    <t>Rotatoria zona Roveri</t>
  </si>
  <si>
    <t xml:space="preserve">    - completamento interventi (trasferimento palestra di lotta CAB)</t>
  </si>
  <si>
    <t xml:space="preserve">   - lavori al terzo piano per realizzazione uffici</t>
  </si>
  <si>
    <t>Galleria d'Arte Moderna: fornitura e posa di sistema di videocontrollo delle uscite di sicurezza</t>
  </si>
  <si>
    <t>Lavori urgenti di manutenzione di porzione del coperto di Palazzo Comunale</t>
  </si>
  <si>
    <t>Utilizzo economie</t>
  </si>
  <si>
    <t>Manifattura Tabacchi: forniture nell'ambito del completamento dell'allestimento della Cineteca</t>
  </si>
  <si>
    <t>Completamento parcheggio interrato Foscolo/Frassinago</t>
  </si>
  <si>
    <t>Oper di completamento sistemazione area verde e viabilità interna fra via Mattei e via Barelli - q.re San Vitale</t>
  </si>
  <si>
    <t>Utilizzo avanzo come da dec. Giunta 28/3/2001</t>
  </si>
  <si>
    <t>- realizzazione tratto pista ciclabile tra le vie Vetulonia e Misa (pista ciclabile Centro Storico-San Lazzaro radiale est)</t>
  </si>
  <si>
    <t>Av. Amm.ne</t>
  </si>
  <si>
    <t>Lavori di completamento e rifinitura in corrispondenza del nuovo ponte sul torrente Lavino</t>
  </si>
  <si>
    <t>Contr.TAV</t>
  </si>
  <si>
    <t>Contr.stat.</t>
  </si>
  <si>
    <t>Entr. Corr.</t>
  </si>
  <si>
    <t>fondi IAR</t>
  </si>
  <si>
    <t>Fornitura e posa impianto antintrusione edificio sito in via Solferino 28</t>
  </si>
  <si>
    <t>Permuta di aree per la sistemazione del verde in località Dozza</t>
  </si>
  <si>
    <t>C.C.n.132</t>
  </si>
  <si>
    <t>Lavori urgenti nei nidi Bolzani, Coccheri, Marsili, Martini, Negri, Patini, Spartaco, Trottola, Zaccherini Alvisi</t>
  </si>
  <si>
    <t>Q.re S. Stefano: Biblioteca Archiginnasio - consolidamento strutturale</t>
  </si>
  <si>
    <t>Progetto "Lotta alla droga"</t>
  </si>
  <si>
    <t xml:space="preserve">      - opere di completamento del Parco Lungo Reno in sponda destra</t>
  </si>
  <si>
    <t>Dec. G.M. del 20/2/2001 oneri</t>
  </si>
  <si>
    <t>Utilizzo avanzo come da dec. Giunta 28/3/2001 per 245 milioni e contr. Ministero Ambiente (rete di monitoraggio dei flussi veicolari)</t>
  </si>
  <si>
    <t>Scuole elem. Ferrari: impianto antintrusione</t>
  </si>
  <si>
    <t>Economie di mutui</t>
  </si>
  <si>
    <t>Permuta di aree comprese nei comparti F ed E della Zis R.5.6 Barca Casteldebole</t>
  </si>
  <si>
    <t>C.C. n.131</t>
  </si>
  <si>
    <t xml:space="preserve">Totalmente c/permuta. </t>
  </si>
  <si>
    <t>C/entrate correnti (var. bilancio)</t>
  </si>
  <si>
    <t>Manutenzione straordinaria alloggi di proprietà IAR</t>
  </si>
  <si>
    <t>Ulteriori interventi su ex scuole elementari Rodari (realizzazione scuola dell'infanzia ed altri servizi)</t>
  </si>
  <si>
    <t>Manut. straord. ex scuola media Jacopo della Quercia per realizzazione tre sezioni scuola dell'infanzia (Polo scolastico Scandellara)</t>
  </si>
  <si>
    <t>Manifattura Tabacchi: ulteriori lavori di completamento relativi a strade e reti tecnologiche</t>
  </si>
  <si>
    <t>Manifattura Tabacchi: ripristino tipologico edificio Castellaccio e case via Azzogardino</t>
  </si>
  <si>
    <t>Manifattura Tabacchi: realizzazione opere di urbanizzazione (strade e reti tecnologiche)</t>
  </si>
  <si>
    <t>Vendita+</t>
  </si>
  <si>
    <t>Ex Istituto Sirani: fornitura armadio di permutazione e rilevatori antintrusione</t>
  </si>
  <si>
    <t>Ex Istituto Sirani: variante al progetto di risanamento conservativo e adeg. tecnologico</t>
  </si>
  <si>
    <t>Variante nell'ambito del restauro di unità residenziali di via S.Isaia 22</t>
  </si>
  <si>
    <t>Progetto "Qualità urbana: riqualif. Vie e Piazze cittadine"</t>
  </si>
  <si>
    <t>Progetto "Adeguam. e manut. impianti di illum. pubblica"</t>
  </si>
  <si>
    <t>Centro sportivo Bauman: variante in corso d'opera</t>
  </si>
  <si>
    <t xml:space="preserve">Nuovo servizio educativo A.Frank: fornitura e posa attrezzature </t>
  </si>
  <si>
    <t>G.M.n.869</t>
  </si>
  <si>
    <t>Centro diurno per anziani di  via Campana: lavori in economia</t>
  </si>
  <si>
    <t>Lavori in economia per la messa in sicurezza dei sotterranei del campo 48</t>
  </si>
  <si>
    <t>Av.amm.ne+</t>
  </si>
  <si>
    <t>Contr. Stat.</t>
  </si>
  <si>
    <t>Scuola elementare "Due Agosto": lavori in economia urgenti di manutenzione per la sistemazione dell'area esterna</t>
  </si>
  <si>
    <t xml:space="preserve"> - manut.straord. presso i locali di via Fioravanti (ex mercato ortofrutticoilo) da destinare a sede temporanea di associazioni giovanili</t>
  </si>
  <si>
    <t xml:space="preserve"> Q.re S. Vitale:  Centro universitario d'incontro e servizi P.zza Verdi (ex scuderie Bentivoglio): lavori di manutenzione per predisposizioni elettriche temporanee</t>
  </si>
  <si>
    <t>- manut. aree esterne cortilive, piccoli impianti sportivi, ecc.</t>
  </si>
  <si>
    <t>Scuola dell'infanzia ed elementare Don Bosco - Ristrutturazione</t>
  </si>
  <si>
    <t>Cimitero Certosa: Manut. straord. zona monumentale (Colombario, Galleria tre Navate, sala Catacombe)</t>
  </si>
  <si>
    <t>Finanziamenti del Comune</t>
  </si>
  <si>
    <t>Totale</t>
  </si>
  <si>
    <t>Altri fin.</t>
  </si>
  <si>
    <t>Finanz. di altri enti</t>
  </si>
  <si>
    <t>Settore Istruzione e sport</t>
  </si>
  <si>
    <t>Settore Cultura e rapporti con l'Università</t>
  </si>
  <si>
    <t>Settore Traffico e Trasporti</t>
  </si>
  <si>
    <t>Settore Patrimonio</t>
  </si>
  <si>
    <t>Settore Acquisti</t>
  </si>
  <si>
    <t>Settore Affari generali e istituzionali</t>
  </si>
  <si>
    <t>Opere relative alle competenze del Consiglio Comunale</t>
  </si>
  <si>
    <t>Quartiere Borgo Panigale</t>
  </si>
  <si>
    <t>Quartiere Navile</t>
  </si>
  <si>
    <t>Quartiere Porto</t>
  </si>
  <si>
    <t>Quartiere Reno</t>
  </si>
  <si>
    <t>Quartiere San Donato</t>
  </si>
  <si>
    <t>Quartiere Santo Stefano</t>
  </si>
  <si>
    <t>Quartiere San Vitale</t>
  </si>
  <si>
    <t>Quartiere Saragozza</t>
  </si>
  <si>
    <t>Quartiere Savena</t>
  </si>
  <si>
    <t>Opere relative alle competenze dei Consigli di Quartiere</t>
  </si>
  <si>
    <t>T O T A L E</t>
  </si>
  <si>
    <t>Collezioni Comunali: completamento allestimento sala primitivi</t>
  </si>
  <si>
    <t>Progetto "Handicap"</t>
  </si>
  <si>
    <t>Progetto "Cimiteri"</t>
  </si>
  <si>
    <t>Progetto "Immigrati"</t>
  </si>
  <si>
    <t>Progetto "Adulti in difficoltà"</t>
  </si>
  <si>
    <t>Altri interventi</t>
  </si>
  <si>
    <t>Progetto "Impianti sportivi"</t>
  </si>
  <si>
    <t>Progetto "Centri giovanili"</t>
  </si>
  <si>
    <t>Progetto "Università: diritto allo studio"</t>
  </si>
  <si>
    <t>Progetto "Musei e biblioteche centrali"</t>
  </si>
  <si>
    <t>Progetto "Biblioteche di quartiere"</t>
  </si>
  <si>
    <t>Progetto "Parchi Lungofiume e fascia boscata"</t>
  </si>
  <si>
    <t>Progetto "Piani particolareggiati"</t>
  </si>
  <si>
    <t>Progetto "Grandi infrastrutture della mobilità"</t>
  </si>
  <si>
    <t>Progetto "Adeguamento e manutenzione rete viaria"</t>
  </si>
  <si>
    <t>Progetto "Piano parcheggi"</t>
  </si>
  <si>
    <t>Progetto "Controllo del traffico"</t>
  </si>
  <si>
    <t>Progetto "Piste ciclabili"</t>
  </si>
  <si>
    <t>Progetto "Centri produzione pasti"</t>
  </si>
  <si>
    <t>Progetto "Uffici amministrativi e tecnici comunali"</t>
  </si>
  <si>
    <t>Progetto "Uffici giudiziari"</t>
  </si>
  <si>
    <t>Progetto "Sicurezza nei luoghi di lavoro"</t>
  </si>
  <si>
    <t>Progetto "Centri civici ed uffici di quartiere"</t>
  </si>
  <si>
    <t>Progetto "Centri sociali"</t>
  </si>
  <si>
    <t>Progetto "Scuole dell'infanzia"</t>
  </si>
  <si>
    <t>Progetto "Scuole elementari"</t>
  </si>
  <si>
    <t>Progetto "Scuole medie inferiori"</t>
  </si>
  <si>
    <t>Mutuo +</t>
  </si>
  <si>
    <t>G.M.n.576</t>
  </si>
  <si>
    <t>Acquisto attrezzature informatiche per il Settore Ragioneria</t>
  </si>
  <si>
    <t>G.M.n.604</t>
  </si>
  <si>
    <t>PROGETTO / INVESTIMENTI / INTERVENTI</t>
  </si>
  <si>
    <t>Note</t>
  </si>
  <si>
    <t>Cimitero Borgo Panigale</t>
  </si>
  <si>
    <t>Cimitero Certosa</t>
  </si>
  <si>
    <t>Edilizia pubblica</t>
  </si>
  <si>
    <t/>
  </si>
  <si>
    <t>Settore Istruzione e Sport</t>
  </si>
  <si>
    <t>Manutenzione straordinaria impianti termici e di condizionamento</t>
  </si>
  <si>
    <t>Adeguamento norme sicurezza edifici comunali: impianti elettrici, uscite di sicurezza  ed eliminazione barriere architettoniche</t>
  </si>
  <si>
    <t>G.M.n.712</t>
  </si>
  <si>
    <t>L'importo complessivo di progetto è di L.20.047 milioni di cui 10.047 contro vendita consuntivati nell'anno 2000.</t>
  </si>
  <si>
    <t>Settore Cultura e Rapporti con l'Università</t>
  </si>
  <si>
    <t>Progetto "Museo Morandi e Collezioni Comunali d'Arte"</t>
  </si>
  <si>
    <t>Progetto "Teatro comunale"</t>
  </si>
  <si>
    <t>Interventi di manutenzione straordinaria</t>
  </si>
  <si>
    <t>Collezioni Comunali: interventi vari</t>
  </si>
  <si>
    <t>Progetto "Conservazione e restauro del patrimonio</t>
  </si>
  <si>
    <t xml:space="preserve">                  storico monumentale"</t>
  </si>
  <si>
    <t xml:space="preserve">    - ristrutt. e ampliamento  spogliatoi piscine del centro sportivo Cavina</t>
  </si>
  <si>
    <t>Biblioteca del Risorgimento: messa a norma imp. elettrico e tinteggiatura locali</t>
  </si>
  <si>
    <t>Ristrutturazione auditorium</t>
  </si>
  <si>
    <t>Ristrutturazione spazi destinati al volontariato della scuola media Saffi</t>
  </si>
  <si>
    <t>Iniziativa "Portici Illuminati"</t>
  </si>
  <si>
    <t>Parco della Montagnola: scalinata del Pincio - II lotto</t>
  </si>
  <si>
    <t>Riserva oneri di urbanizzazione</t>
  </si>
  <si>
    <t xml:space="preserve">Progetto "Sistema di trasporto pubblico" </t>
  </si>
  <si>
    <t>Ristrutt. e messa a norma impianti di illum. pubblica nei viali di circonvall. da porta Santo Stefano a porta Castiglione e strade laterali</t>
  </si>
  <si>
    <r>
      <t>Manut. straord. patrimonio abitativo di proprietà comunale (</t>
    </r>
    <r>
      <rPr>
        <sz val="9"/>
        <rFont val="Arial"/>
        <family val="2"/>
      </rPr>
      <t>gestione ACER)</t>
    </r>
  </si>
  <si>
    <t>Progetto "PRU Pilastro"</t>
  </si>
  <si>
    <t>Dec. G.M. del 21/5/2001</t>
  </si>
  <si>
    <t>SETTORE / PROGETTI</t>
  </si>
  <si>
    <t>Ricorso al credito (mutuo / BOC)</t>
  </si>
  <si>
    <t>Progetto "Manut.  straord.  e  adeg.  norm.  edifici  di proprietà comunale"</t>
  </si>
  <si>
    <t>Progetto "Museo Morandi e Collezioni com.li d'Arte"</t>
  </si>
  <si>
    <t>Progetto "Teatro Comunale"</t>
  </si>
  <si>
    <t>Progetto "Conservazione e restauro del patrimonio storico monumentale"</t>
  </si>
  <si>
    <t>Progetto "Realizz. interventi di riqualif. del verde e di parchi a valenza cittadina"</t>
  </si>
  <si>
    <t>Progetto "Realizz. interventi di riqualif. del verde e di parchi a valenza di quartiere"</t>
  </si>
  <si>
    <t>Progetto "Adeguamento rete fognaria e altri interventi di risanamento ambientale"</t>
  </si>
  <si>
    <t>Progetto "Qualità urbana: riqual. Vie e Piazze cittadine"</t>
  </si>
  <si>
    <t>Progetto "Qualità urbana: riqual. Mercati rionali cittadini"</t>
  </si>
  <si>
    <t>Progetto "Sistema di trasporto pubblico"</t>
  </si>
  <si>
    <t>Progetto "Adeguamento e manutenzione di impianti di illuminazione pubblica"</t>
  </si>
  <si>
    <t>Progetto "P.R.U. Pilastro"</t>
  </si>
  <si>
    <t>Progetto "Arredi, attrezz. e altri beni mobili per i servizi comunali"</t>
  </si>
  <si>
    <t>TOT. OPERE DI COMPETENZA DEL CONSIGLIO COMUNALE</t>
  </si>
  <si>
    <t>QUARTIERE / PROGETTI</t>
  </si>
  <si>
    <t>Progetto "Manutenzione straordinaria edifici scolastici"</t>
  </si>
  <si>
    <t>TOTALE QUARTIERI</t>
  </si>
  <si>
    <t>TOT. OPERE DI COMPETENZA DEI CONSIGLI DI QUARTIERE</t>
  </si>
  <si>
    <t xml:space="preserve">Progetto "Nidi d'infanzia"  </t>
  </si>
  <si>
    <t>(in milioni di lire)</t>
  </si>
  <si>
    <t>Piano poliennale dei lavori pubblici e degli investimenti 2001 - Consuntivo al 31 dicembre</t>
  </si>
  <si>
    <t>Riepilogo generale per settore e progetto</t>
  </si>
  <si>
    <t>Progetto "Contratti di quartiere- zona Pescarola"</t>
  </si>
  <si>
    <t>Destinazione 7% oneri di urbanizzazione secondaria ad Enti religiosi</t>
  </si>
  <si>
    <t>Riepilogo generale per quartiere e progetto</t>
  </si>
  <si>
    <t>C.C.n.142</t>
  </si>
  <si>
    <t>Permuta di immobili di proprietà altrui siti in via Savioli - Mazzini  contro potenzialità edificatorie di proprietà comunale in via della Barca e in via della Villa</t>
  </si>
  <si>
    <t>Permuta di immobili  siti in via Guelfa  (ex Scuole Manfredi) e via Pallavicini</t>
  </si>
  <si>
    <t>C.C.n. 308</t>
  </si>
  <si>
    <t>Permuta tra l'immobile Cinema Teatro Manzoni ed aree dell'ex mercato Macello di via S.Caterina di Quarto</t>
  </si>
  <si>
    <t>ANALISI DELLE FONTI DI FINANZIAMENTO</t>
  </si>
  <si>
    <t>Consuntivo 2001</t>
  </si>
  <si>
    <t>di cui</t>
  </si>
  <si>
    <t>nuovi mutui</t>
  </si>
  <si>
    <t>residui di mutui</t>
  </si>
  <si>
    <t>Altri finanziamenti Comune</t>
  </si>
  <si>
    <t xml:space="preserve">di cui </t>
  </si>
  <si>
    <t xml:space="preserve">Oneri </t>
  </si>
  <si>
    <t>Permute</t>
  </si>
  <si>
    <t>Finanziamenti altri Enti</t>
  </si>
  <si>
    <t>Contributo statale legge  1552/61</t>
  </si>
  <si>
    <t>Contributi regionali</t>
  </si>
  <si>
    <t>Contributi statali</t>
  </si>
  <si>
    <t>PRU (Manifattura Tabacchi/Pilastro)
quota a carico del Comune</t>
  </si>
  <si>
    <t>PRU (Manifattura Tabacchi/Pilastro)
quota a carico di altri Enti</t>
  </si>
  <si>
    <t>vedi pagina seguente per l'analisi dettagliata delle fonti di finanziamento</t>
  </si>
  <si>
    <t>(rilevati a partire dal 2001)</t>
  </si>
  <si>
    <t>Altro (Avanzo di amm.ne, entrate correnti)</t>
  </si>
  <si>
    <t>Altri contributi (Università, TAV, privati)</t>
  </si>
  <si>
    <t>Accordo di permuta - Importo al netto degli oneri fiscali</t>
  </si>
  <si>
    <t>Accordo preliminare di permuta - Importo al netto degli oneri fiscali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</si>
</sst>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#,##0\ "/>
    <numFmt numFmtId="166" formatCode="#,##0\ \ "/>
    <numFmt numFmtId="167" formatCode="#,##0.0\ \ \ "/>
    <numFmt numFmtId="168" formatCode="0.0"/>
    <numFmt numFmtId="169" formatCode="#,##0.0\ "/>
    <numFmt numFmtId="170" formatCode="#,##0.0\ \ "/>
    <numFmt numFmtId="171" formatCode="#,##0.0\ \ \ \ "/>
    <numFmt numFmtId="172" formatCode="dd/mm/yy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8"/>
      <color indexed="8"/>
      <name val="Arial"/>
      <family val="0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4"/>
      <name val="Arial"/>
      <family val="0"/>
    </font>
    <font>
      <b/>
      <sz val="8"/>
      <color indexed="9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2"/>
    </font>
    <font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5"/>
      <color indexed="56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5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MS Sans Serif"/>
      <family val="2"/>
    </font>
    <font>
      <sz val="8"/>
      <color indexed="10"/>
      <name val="Arial"/>
      <family val="0"/>
    </font>
    <font>
      <sz val="10"/>
      <color indexed="10"/>
      <name val="MS Sans Serif"/>
      <family val="0"/>
    </font>
    <font>
      <sz val="9"/>
      <color indexed="14"/>
      <name val="Arial"/>
      <family val="2"/>
    </font>
    <font>
      <sz val="14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centerContinuous" vertical="top" wrapText="1"/>
    </xf>
    <xf numFmtId="0" fontId="4" fillId="0" borderId="3" xfId="0" applyFont="1" applyFill="1" applyBorder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4" fontId="4" fillId="0" borderId="4" xfId="0" applyNumberFormat="1" applyFont="1" applyFill="1" applyBorder="1" applyAlignment="1">
      <alignment horizontal="centerContinuous" vertical="center" wrapText="1"/>
    </xf>
    <xf numFmtId="164" fontId="6" fillId="0" borderId="0" xfId="0" applyNumberFormat="1" applyFont="1" applyFill="1" applyBorder="1" applyAlignment="1">
      <alignment horizontal="centerContinuous"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Continuous" vertical="top" wrapText="1"/>
    </xf>
    <xf numFmtId="0" fontId="6" fillId="0" borderId="0" xfId="0" applyNumberFormat="1" applyFont="1" applyFill="1" applyBorder="1" applyAlignment="1">
      <alignment horizontal="centerContinuous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Continuous" vertical="top"/>
    </xf>
    <xf numFmtId="164" fontId="9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Continuous" vertical="top"/>
    </xf>
    <xf numFmtId="0" fontId="6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justify"/>
    </xf>
    <xf numFmtId="0" fontId="7" fillId="0" borderId="1" xfId="0" applyFont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justify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164" fontId="4" fillId="0" borderId="7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164" fontId="7" fillId="0" borderId="1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0" fontId="5" fillId="0" borderId="0" xfId="0" applyNumberFormat="1" applyFont="1" applyFill="1" applyBorder="1" applyAlignment="1">
      <alignment horizontal="justify"/>
    </xf>
    <xf numFmtId="0" fontId="9" fillId="0" borderId="0" xfId="0" applyNumberFormat="1" applyFont="1" applyFill="1" applyAlignment="1" quotePrefix="1">
      <alignment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/>
    </xf>
    <xf numFmtId="0" fontId="10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7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7" xfId="0" applyNumberFormat="1" applyFont="1" applyFill="1" applyBorder="1" applyAlignment="1">
      <alignment vertical="top" wrapText="1"/>
    </xf>
    <xf numFmtId="164" fontId="7" fillId="0" borderId="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5" fontId="9" fillId="0" borderId="8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justify" vertical="center"/>
    </xf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164" fontId="13" fillId="0" borderId="7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Continuous" wrapText="1"/>
    </xf>
    <xf numFmtId="0" fontId="11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11" fillId="0" borderId="12" xfId="0" applyNumberFormat="1" applyFont="1" applyFill="1" applyBorder="1" applyAlignment="1">
      <alignment horizontal="centerContinuous"/>
    </xf>
    <xf numFmtId="1" fontId="4" fillId="0" borderId="9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justify" vertical="center"/>
    </xf>
    <xf numFmtId="1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1" fontId="10" fillId="0" borderId="7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justify" vertical="center"/>
    </xf>
    <xf numFmtId="0" fontId="8" fillId="0" borderId="0" xfId="0" applyFont="1" applyFill="1" applyAlignment="1">
      <alignment horizontal="left"/>
    </xf>
    <xf numFmtId="1" fontId="8" fillId="0" borderId="9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justify" vertical="center"/>
    </xf>
    <xf numFmtId="1" fontId="7" fillId="0" borderId="9" xfId="0" applyNumberFormat="1" applyFont="1" applyFill="1" applyBorder="1" applyAlignment="1">
      <alignment horizontal="left" vertical="center"/>
    </xf>
    <xf numFmtId="1" fontId="7" fillId="0" borderId="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11" xfId="0" applyNumberFormat="1" applyFont="1" applyBorder="1" applyAlignment="1">
      <alignment/>
    </xf>
    <xf numFmtId="1" fontId="8" fillId="0" borderId="0" xfId="0" applyNumberFormat="1" applyFont="1" applyFill="1" applyAlignment="1">
      <alignment horizontal="left"/>
    </xf>
    <xf numFmtId="1" fontId="8" fillId="0" borderId="9" xfId="0" applyNumberFormat="1" applyFont="1" applyFill="1" applyBorder="1" applyAlignment="1">
      <alignment horizontal="left" vertical="center"/>
    </xf>
    <xf numFmtId="1" fontId="8" fillId="0" borderId="5" xfId="0" applyNumberFormat="1" applyFont="1" applyFill="1" applyBorder="1" applyAlignment="1">
      <alignment horizontal="justify" vertical="center"/>
    </xf>
    <xf numFmtId="1" fontId="7" fillId="0" borderId="0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0" borderId="0" xfId="0" applyNumberFormat="1" applyFont="1" applyFill="1" applyAlignment="1">
      <alignment horizontal="left"/>
    </xf>
    <xf numFmtId="1" fontId="8" fillId="0" borderId="1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Continuous"/>
    </xf>
    <xf numFmtId="1" fontId="8" fillId="0" borderId="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0" fontId="10" fillId="0" borderId="7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" fontId="8" fillId="0" borderId="5" xfId="0" applyNumberFormat="1" applyFont="1" applyFill="1" applyBorder="1" applyAlignment="1">
      <alignment horizontal="justify"/>
    </xf>
    <xf numFmtId="0" fontId="4" fillId="0" borderId="6" xfId="0" applyNumberFormat="1" applyFont="1" applyFill="1" applyBorder="1" applyAlignment="1">
      <alignment horizontal="justify"/>
    </xf>
    <xf numFmtId="0" fontId="7" fillId="0" borderId="0" xfId="0" applyFont="1" applyFill="1" applyAlignment="1">
      <alignment/>
    </xf>
    <xf numFmtId="164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9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Alignment="1">
      <alignment horizontal="centerContinuous" vertical="center"/>
    </xf>
    <xf numFmtId="164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164" fontId="15" fillId="0" borderId="0" xfId="0" applyNumberFormat="1" applyFont="1" applyFill="1" applyBorder="1" applyAlignment="1">
      <alignment horizontal="centerContinuous"/>
    </xf>
    <xf numFmtId="164" fontId="18" fillId="0" borderId="0" xfId="0" applyNumberFormat="1" applyFont="1" applyFill="1" applyBorder="1" applyAlignment="1">
      <alignment horizontal="centerContinuous"/>
    </xf>
    <xf numFmtId="164" fontId="18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9" xfId="0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9" fillId="0" borderId="7" xfId="0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Alignment="1">
      <alignment/>
    </xf>
    <xf numFmtId="0" fontId="15" fillId="0" borderId="3" xfId="0" applyFont="1" applyFill="1" applyBorder="1" applyAlignment="1">
      <alignment horizontal="centerContinuous" vertical="center"/>
    </xf>
    <xf numFmtId="0" fontId="15" fillId="0" borderId="6" xfId="0" applyNumberFormat="1" applyFont="1" applyFill="1" applyBorder="1" applyAlignment="1">
      <alignment horizontal="centerContinuous"/>
    </xf>
    <xf numFmtId="0" fontId="15" fillId="0" borderId="7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/>
    </xf>
    <xf numFmtId="164" fontId="18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15" fillId="0" borderId="7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9" fillId="0" borderId="1" xfId="0" applyFont="1" applyBorder="1" applyAlignment="1">
      <alignment/>
    </xf>
    <xf numFmtId="0" fontId="11" fillId="0" borderId="0" xfId="0" applyNumberFormat="1" applyFont="1" applyFill="1" applyAlignment="1" quotePrefix="1">
      <alignment horizontal="left"/>
    </xf>
    <xf numFmtId="0" fontId="24" fillId="0" borderId="0" xfId="0" applyNumberFormat="1" applyFont="1" applyFill="1" applyAlignment="1" quotePrefix="1">
      <alignment horizontal="left"/>
    </xf>
    <xf numFmtId="0" fontId="20" fillId="0" borderId="7" xfId="0" applyFont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164" fontId="14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justify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5" fillId="0" borderId="5" xfId="0" applyNumberFormat="1" applyFont="1" applyFill="1" applyBorder="1" applyAlignment="1">
      <alignment horizontal="centerContinuous" vertical="center" wrapText="1"/>
    </xf>
    <xf numFmtId="164" fontId="5" fillId="0" borderId="13" xfId="0" applyNumberFormat="1" applyFont="1" applyFill="1" applyBorder="1" applyAlignment="1">
      <alignment horizontal="centerContinuous" vertical="center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vertical="center" wrapText="1"/>
    </xf>
    <xf numFmtId="0" fontId="14" fillId="0" borderId="0" xfId="0" applyFont="1" applyFill="1" applyAlignment="1" quotePrefix="1">
      <alignment horizontal="right" vertical="center"/>
    </xf>
    <xf numFmtId="0" fontId="18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wrapText="1"/>
    </xf>
    <xf numFmtId="0" fontId="4" fillId="0" borderId="0" xfId="0" applyNumberFormat="1" applyFont="1" applyFill="1" applyBorder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10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justify"/>
    </xf>
    <xf numFmtId="0" fontId="7" fillId="0" borderId="10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centerContinuous"/>
    </xf>
    <xf numFmtId="14" fontId="27" fillId="0" borderId="10" xfId="0" applyNumberFormat="1" applyFont="1" applyFill="1" applyBorder="1" applyAlignment="1">
      <alignment horizontal="centerContinuous"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6" fontId="14" fillId="0" borderId="10" xfId="0" applyNumberFormat="1" applyFont="1" applyFill="1" applyBorder="1" applyAlignment="1">
      <alignment horizontal="centerContinuous" vertical="center"/>
    </xf>
    <xf numFmtId="0" fontId="28" fillId="0" borderId="10" xfId="0" applyFont="1" applyFill="1" applyBorder="1" applyAlignment="1">
      <alignment horizontal="centerContinuous"/>
    </xf>
    <xf numFmtId="14" fontId="28" fillId="0" borderId="10" xfId="0" applyNumberFormat="1" applyFont="1" applyFill="1" applyBorder="1" applyAlignment="1">
      <alignment horizontal="centerContinuous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14" fontId="15" fillId="0" borderId="8" xfId="0" applyNumberFormat="1" applyFont="1" applyFill="1" applyBorder="1" applyAlignment="1">
      <alignment horizontal="center" wrapText="1"/>
    </xf>
    <xf numFmtId="172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35" fillId="0" borderId="4" xfId="0" applyFont="1" applyFill="1" applyBorder="1" applyAlignment="1">
      <alignment vertical="center"/>
    </xf>
    <xf numFmtId="0" fontId="35" fillId="0" borderId="14" xfId="0" applyNumberFormat="1" applyFont="1" applyFill="1" applyBorder="1" applyAlignment="1">
      <alignment horizontal="right" vertical="center"/>
    </xf>
    <xf numFmtId="164" fontId="36" fillId="0" borderId="10" xfId="0" applyNumberFormat="1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justify" vertical="center"/>
    </xf>
    <xf numFmtId="164" fontId="37" fillId="0" borderId="10" xfId="0" applyNumberFormat="1" applyFont="1" applyFill="1" applyBorder="1" applyAlignment="1">
      <alignment vertical="center"/>
    </xf>
    <xf numFmtId="0" fontId="39" fillId="0" borderId="7" xfId="0" applyFont="1" applyFill="1" applyBorder="1" applyAlignment="1">
      <alignment horizontal="left"/>
    </xf>
    <xf numFmtId="0" fontId="37" fillId="0" borderId="4" xfId="0" applyFont="1" applyFill="1" applyBorder="1" applyAlignment="1">
      <alignment horizontal="left" vertical="center"/>
    </xf>
    <xf numFmtId="165" fontId="37" fillId="0" borderId="10" xfId="0" applyNumberFormat="1" applyFont="1" applyFill="1" applyBorder="1" applyAlignment="1">
      <alignment vertical="center"/>
    </xf>
    <xf numFmtId="0" fontId="30" fillId="0" borderId="7" xfId="0" applyFont="1" applyFill="1" applyBorder="1" applyAlignment="1">
      <alignment vertical="center"/>
    </xf>
    <xf numFmtId="165" fontId="37" fillId="0" borderId="7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41" fillId="0" borderId="7" xfId="0" applyNumberFormat="1" applyFont="1" applyFill="1" applyBorder="1" applyAlignment="1">
      <alignment horizontal="centerContinuous" vertical="center"/>
    </xf>
    <xf numFmtId="164" fontId="37" fillId="0" borderId="7" xfId="0" applyNumberFormat="1" applyFont="1" applyFill="1" applyBorder="1" applyAlignment="1">
      <alignment vertical="center"/>
    </xf>
    <xf numFmtId="166" fontId="37" fillId="0" borderId="10" xfId="0" applyNumberFormat="1" applyFont="1" applyFill="1" applyBorder="1" applyAlignment="1">
      <alignment vertical="center"/>
    </xf>
    <xf numFmtId="166" fontId="37" fillId="0" borderId="0" xfId="0" applyNumberFormat="1" applyFont="1" applyFill="1" applyBorder="1" applyAlignment="1">
      <alignment vertical="center"/>
    </xf>
    <xf numFmtId="0" fontId="42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164" fontId="37" fillId="0" borderId="7" xfId="0" applyNumberFormat="1" applyFont="1" applyFill="1" applyBorder="1" applyAlignment="1">
      <alignment vertical="center"/>
    </xf>
    <xf numFmtId="0" fontId="37" fillId="0" borderId="4" xfId="0" applyFont="1" applyFill="1" applyBorder="1" applyAlignment="1">
      <alignment horizontal="centerContinuous" vertical="center"/>
    </xf>
    <xf numFmtId="0" fontId="31" fillId="0" borderId="14" xfId="0" applyNumberFormat="1" applyFont="1" applyFill="1" applyBorder="1" applyAlignment="1">
      <alignment horizontal="centerContinuous" vertical="center"/>
    </xf>
    <xf numFmtId="0" fontId="31" fillId="0" borderId="14" xfId="0" applyFont="1" applyFill="1" applyBorder="1" applyAlignment="1">
      <alignment horizontal="centerContinuous" vertical="center"/>
    </xf>
    <xf numFmtId="0" fontId="42" fillId="0" borderId="4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29" fillId="0" borderId="4" xfId="0" applyFont="1" applyFill="1" applyBorder="1" applyAlignment="1">
      <alignment horizontal="centerContinuous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justify"/>
    </xf>
    <xf numFmtId="0" fontId="4" fillId="0" borderId="0" xfId="0" applyNumberFormat="1" applyFont="1" applyFill="1" applyBorder="1" applyAlignment="1">
      <alignment horizontal="justify"/>
    </xf>
    <xf numFmtId="0" fontId="7" fillId="0" borderId="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Continuous" vertical="center"/>
    </xf>
    <xf numFmtId="164" fontId="7" fillId="0" borderId="7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46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 quotePrefix="1">
      <alignment horizontal="left" wrapText="1"/>
    </xf>
    <xf numFmtId="0" fontId="46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/>
    </xf>
    <xf numFmtId="0" fontId="5" fillId="0" borderId="7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 quotePrefix="1">
      <alignment horizontal="left" wrapText="1"/>
    </xf>
    <xf numFmtId="164" fontId="9" fillId="0" borderId="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quotePrefix="1">
      <alignment horizontal="left"/>
    </xf>
    <xf numFmtId="16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justify" vertical="center"/>
    </xf>
    <xf numFmtId="164" fontId="4" fillId="0" borderId="0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justify"/>
    </xf>
    <xf numFmtId="0" fontId="10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/>
    </xf>
    <xf numFmtId="0" fontId="26" fillId="0" borderId="12" xfId="0" applyFont="1" applyFill="1" applyBorder="1" applyAlignment="1" quotePrefix="1">
      <alignment wrapText="1"/>
    </xf>
    <xf numFmtId="0" fontId="4" fillId="0" borderId="7" xfId="0" applyFont="1" applyFill="1" applyBorder="1" applyAlignment="1">
      <alignment/>
    </xf>
    <xf numFmtId="0" fontId="23" fillId="0" borderId="0" xfId="0" applyFont="1" applyFill="1" applyAlignment="1" quotePrefix="1">
      <alignment horizontal="left"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39" fillId="0" borderId="3" xfId="0" applyFont="1" applyFill="1" applyBorder="1" applyAlignment="1" quotePrefix="1">
      <alignment horizontal="left"/>
    </xf>
    <xf numFmtId="0" fontId="9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39" fillId="0" borderId="7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justify" wrapText="1"/>
    </xf>
    <xf numFmtId="164" fontId="39" fillId="0" borderId="7" xfId="0" applyNumberFormat="1" applyFont="1" applyFill="1" applyBorder="1" applyAlignment="1">
      <alignment/>
    </xf>
    <xf numFmtId="0" fontId="44" fillId="0" borderId="1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justify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" fontId="8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5" fillId="0" borderId="7" xfId="0" applyFont="1" applyFill="1" applyBorder="1" applyAlignment="1" quotePrefix="1">
      <alignment horizontal="left" wrapText="1"/>
    </xf>
    <xf numFmtId="164" fontId="7" fillId="0" borderId="7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 quotePrefix="1">
      <alignment/>
    </xf>
    <xf numFmtId="0" fontId="2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 quotePrefix="1">
      <alignment/>
    </xf>
    <xf numFmtId="0" fontId="9" fillId="0" borderId="11" xfId="0" applyFont="1" applyFill="1" applyBorder="1" applyAlignment="1">
      <alignment/>
    </xf>
    <xf numFmtId="0" fontId="9" fillId="0" borderId="1" xfId="0" applyFont="1" applyFill="1" applyBorder="1" applyAlignment="1" quotePrefix="1">
      <alignment horizontal="left" wrapText="1"/>
    </xf>
    <xf numFmtId="164" fontId="7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quotePrefix="1">
      <alignment wrapText="1"/>
    </xf>
    <xf numFmtId="0" fontId="4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 quotePrefix="1">
      <alignment horizontal="left" wrapText="1"/>
    </xf>
    <xf numFmtId="0" fontId="10" fillId="0" borderId="7" xfId="0" applyFont="1" applyFill="1" applyBorder="1" applyAlignment="1" quotePrefix="1">
      <alignment horizontal="centerContinuous"/>
    </xf>
    <xf numFmtId="0" fontId="27" fillId="0" borderId="7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26" fillId="0" borderId="0" xfId="0" applyFont="1" applyFill="1" applyAlignment="1" quotePrefix="1">
      <alignment horizontal="left" wrapText="1"/>
    </xf>
    <xf numFmtId="0" fontId="0" fillId="0" borderId="0" xfId="0" applyBorder="1" applyAlignment="1">
      <alignment/>
    </xf>
    <xf numFmtId="166" fontId="7" fillId="0" borderId="10" xfId="0" applyNumberFormat="1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centerContinuous"/>
    </xf>
    <xf numFmtId="14" fontId="27" fillId="0" borderId="1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16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justify" vertical="center"/>
    </xf>
    <xf numFmtId="166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4" fontId="4" fillId="0" borderId="8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0" fontId="38" fillId="0" borderId="7" xfId="0" applyFont="1" applyFill="1" applyBorder="1" applyAlignment="1">
      <alignment horizontal="centerContinuous"/>
    </xf>
    <xf numFmtId="0" fontId="26" fillId="0" borderId="0" xfId="0" applyFont="1" applyFill="1" applyBorder="1" applyAlignment="1" quotePrefix="1">
      <alignment wrapText="1"/>
    </xf>
    <xf numFmtId="164" fontId="10" fillId="0" borderId="0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right"/>
    </xf>
    <xf numFmtId="0" fontId="30" fillId="0" borderId="10" xfId="0" applyFont="1" applyBorder="1" applyAlignment="1">
      <alignment vertical="center"/>
    </xf>
    <xf numFmtId="0" fontId="37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horizontal="centerContinuous"/>
    </xf>
    <xf numFmtId="0" fontId="9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Continuous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40" fillId="0" borderId="1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40" fillId="0" borderId="0" xfId="0" applyNumberFormat="1" applyFont="1" applyFill="1" applyBorder="1" applyAlignment="1" quotePrefix="1">
      <alignment horizontal="left" wrapText="1"/>
    </xf>
    <xf numFmtId="1" fontId="0" fillId="0" borderId="0" xfId="0" applyNumberFormat="1" applyFont="1" applyFill="1" applyAlignment="1">
      <alignment/>
    </xf>
    <xf numFmtId="1" fontId="8" fillId="0" borderId="13" xfId="0" applyNumberFormat="1" applyFont="1" applyFill="1" applyBorder="1" applyAlignment="1">
      <alignment horizontal="justify" vertical="center"/>
    </xf>
    <xf numFmtId="0" fontId="4" fillId="0" borderId="16" xfId="0" applyNumberFormat="1" applyFont="1" applyFill="1" applyBorder="1" applyAlignment="1">
      <alignment horizontal="justify" vertical="center"/>
    </xf>
    <xf numFmtId="0" fontId="26" fillId="0" borderId="12" xfId="0" applyFont="1" applyFill="1" applyBorder="1" applyAlignment="1" quotePrefix="1">
      <alignment horizontal="left"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 quotePrefix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wrapText="1"/>
    </xf>
    <xf numFmtId="0" fontId="5" fillId="0" borderId="12" xfId="0" applyFont="1" applyFill="1" applyBorder="1" applyAlignment="1">
      <alignment/>
    </xf>
    <xf numFmtId="0" fontId="37" fillId="0" borderId="2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Continuous" vertical="center"/>
    </xf>
    <xf numFmtId="0" fontId="30" fillId="0" borderId="7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0" fontId="39" fillId="0" borderId="7" xfId="0" applyFont="1" applyFill="1" applyBorder="1" applyAlignment="1" quotePrefix="1">
      <alignment horizontal="left"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164" fontId="24" fillId="0" borderId="0" xfId="0" applyNumberFormat="1" applyFont="1" applyFill="1" applyBorder="1" applyAlignment="1">
      <alignment horizontal="centerContinuous"/>
    </xf>
    <xf numFmtId="164" fontId="47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Continuous" vertical="top" wrapText="1"/>
    </xf>
    <xf numFmtId="1" fontId="5" fillId="0" borderId="2" xfId="0" applyNumberFormat="1" applyFont="1" applyFill="1" applyBorder="1" applyAlignment="1">
      <alignment horizontal="centerContinuous" vertical="center"/>
    </xf>
    <xf numFmtId="1" fontId="4" fillId="0" borderId="14" xfId="0" applyNumberFormat="1" applyFont="1" applyFill="1" applyBorder="1" applyAlignment="1">
      <alignment horizontal="centerContinuous" vertical="center"/>
    </xf>
    <xf numFmtId="0" fontId="11" fillId="0" borderId="7" xfId="0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 vertical="center"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7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vertical="top"/>
    </xf>
    <xf numFmtId="0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164" fontId="4" fillId="0" borderId="8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/>
    </xf>
    <xf numFmtId="0" fontId="5" fillId="0" borderId="7" xfId="0" applyFont="1" applyBorder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Fill="1" applyBorder="1" applyAlignment="1">
      <alignment horizontal="centerContinuous" vertical="center" wrapText="1"/>
    </xf>
    <xf numFmtId="16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 quotePrefix="1">
      <alignment horizontal="left" vertical="top" wrapText="1"/>
    </xf>
    <xf numFmtId="0" fontId="8" fillId="0" borderId="3" xfId="0" applyFont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3" fontId="48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/>
    </xf>
    <xf numFmtId="0" fontId="51" fillId="0" borderId="0" xfId="0" applyFont="1" applyAlignment="1">
      <alignment horizontal="right" wrapText="1"/>
    </xf>
    <xf numFmtId="164" fontId="18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left" vertical="center" wrapText="1"/>
    </xf>
    <xf numFmtId="164" fontId="18" fillId="0" borderId="18" xfId="0" applyNumberFormat="1" applyFont="1" applyFill="1" applyBorder="1" applyAlignment="1">
      <alignment horizontal="left" vertical="center" wrapText="1"/>
    </xf>
    <xf numFmtId="164" fontId="18" fillId="0" borderId="19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quotePrefix="1">
      <alignment horizontal="center" wrapText="1"/>
    </xf>
    <xf numFmtId="164" fontId="7" fillId="0" borderId="0" xfId="0" applyNumberFormat="1" applyFont="1" applyFill="1" applyBorder="1" applyAlignment="1" quotePrefix="1">
      <alignment horizontal="center" wrapText="1"/>
    </xf>
    <xf numFmtId="164" fontId="7" fillId="0" borderId="12" xfId="0" applyNumberFormat="1" applyFont="1" applyFill="1" applyBorder="1" applyAlignment="1" quotePrefix="1">
      <alignment horizontal="center" wrapText="1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quotePrefix="1">
      <alignment horizontal="left" wrapText="1"/>
    </xf>
    <xf numFmtId="0" fontId="0" fillId="0" borderId="12" xfId="0" applyFont="1" applyFill="1" applyBorder="1" applyAlignment="1">
      <alignment/>
    </xf>
    <xf numFmtId="0" fontId="5" fillId="0" borderId="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7" xfId="0" applyFont="1" applyFill="1" applyBorder="1" applyAlignment="1" quotePrefix="1">
      <alignment horizontal="left" wrapText="1"/>
    </xf>
    <xf numFmtId="0" fontId="0" fillId="0" borderId="12" xfId="0" applyFont="1" applyFill="1" applyBorder="1" applyAlignment="1">
      <alignment wrapText="1"/>
    </xf>
    <xf numFmtId="0" fontId="5" fillId="0" borderId="7" xfId="0" applyFont="1" applyFill="1" applyBorder="1" applyAlignment="1" quotePrefix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164" fontId="10" fillId="0" borderId="7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81</xdr:row>
      <xdr:rowOff>95250</xdr:rowOff>
    </xdr:from>
    <xdr:to>
      <xdr:col>13</xdr:col>
      <xdr:colOff>152400</xdr:colOff>
      <xdr:row>82</xdr:row>
      <xdr:rowOff>152400</xdr:rowOff>
    </xdr:to>
    <xdr:sp>
      <xdr:nvSpPr>
        <xdr:cNvPr id="1" name="Line 7"/>
        <xdr:cNvSpPr>
          <a:spLocks/>
        </xdr:cNvSpPr>
      </xdr:nvSpPr>
      <xdr:spPr>
        <a:xfrm>
          <a:off x="10601325" y="16163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371475</xdr:colOff>
      <xdr:row>32</xdr:row>
      <xdr:rowOff>9525</xdr:rowOff>
    </xdr:from>
    <xdr:to>
      <xdr:col>6</xdr:col>
      <xdr:colOff>371475</xdr:colOff>
      <xdr:row>34</xdr:row>
      <xdr:rowOff>142875</xdr:rowOff>
    </xdr:to>
    <xdr:sp>
      <xdr:nvSpPr>
        <xdr:cNvPr id="2" name="Line 9"/>
        <xdr:cNvSpPr>
          <a:spLocks/>
        </xdr:cNvSpPr>
      </xdr:nvSpPr>
      <xdr:spPr>
        <a:xfrm>
          <a:off x="6886575" y="7810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409575</xdr:colOff>
      <xdr:row>32</xdr:row>
      <xdr:rowOff>9525</xdr:rowOff>
    </xdr:from>
    <xdr:to>
      <xdr:col>7</xdr:col>
      <xdr:colOff>409575</xdr:colOff>
      <xdr:row>34</xdr:row>
      <xdr:rowOff>142875</xdr:rowOff>
    </xdr:to>
    <xdr:sp>
      <xdr:nvSpPr>
        <xdr:cNvPr id="3" name="Line 15"/>
        <xdr:cNvSpPr>
          <a:spLocks/>
        </xdr:cNvSpPr>
      </xdr:nvSpPr>
      <xdr:spPr>
        <a:xfrm>
          <a:off x="7696200" y="7810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476250</xdr:colOff>
      <xdr:row>32</xdr:row>
      <xdr:rowOff>0</xdr:rowOff>
    </xdr:from>
    <xdr:to>
      <xdr:col>8</xdr:col>
      <xdr:colOff>476250</xdr:colOff>
      <xdr:row>34</xdr:row>
      <xdr:rowOff>133350</xdr:rowOff>
    </xdr:to>
    <xdr:sp>
      <xdr:nvSpPr>
        <xdr:cNvPr id="4" name="Line 16"/>
        <xdr:cNvSpPr>
          <a:spLocks/>
        </xdr:cNvSpPr>
      </xdr:nvSpPr>
      <xdr:spPr>
        <a:xfrm>
          <a:off x="8534400" y="7800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.7109375" style="175" customWidth="1"/>
    <col min="2" max="2" width="49.7109375" style="197" customWidth="1"/>
    <col min="3" max="5" width="11.57421875" style="198" customWidth="1"/>
    <col min="6" max="6" width="11.57421875" style="199" customWidth="1"/>
    <col min="7" max="9" width="11.57421875" style="198" customWidth="1"/>
    <col min="10" max="10" width="11.57421875" style="199" customWidth="1"/>
    <col min="11" max="11" width="2.140625" style="175" customWidth="1"/>
    <col min="12" max="12" width="1.421875" style="175" customWidth="1"/>
    <col min="13" max="16384" width="9.140625" style="175" customWidth="1"/>
  </cols>
  <sheetData>
    <row r="1" spans="1:10" s="163" customFormat="1" ht="20.25">
      <c r="A1" s="264" t="s">
        <v>57</v>
      </c>
      <c r="B1" s="161"/>
      <c r="C1" s="162"/>
      <c r="D1" s="162"/>
      <c r="E1" s="162"/>
      <c r="F1" s="162"/>
      <c r="G1" s="162"/>
      <c r="H1" s="162"/>
      <c r="I1" s="162"/>
      <c r="J1" s="162"/>
    </row>
    <row r="2" spans="1:10" s="163" customFormat="1" ht="19.5">
      <c r="A2" s="265" t="s">
        <v>135</v>
      </c>
      <c r="B2" s="161"/>
      <c r="C2" s="162"/>
      <c r="D2" s="162"/>
      <c r="E2" s="162"/>
      <c r="F2" s="162"/>
      <c r="G2" s="162"/>
      <c r="H2" s="162"/>
      <c r="I2" s="162"/>
      <c r="J2" s="162"/>
    </row>
    <row r="3" spans="1:10" s="169" customFormat="1" ht="12">
      <c r="A3" s="164"/>
      <c r="B3" s="165"/>
      <c r="C3" s="166"/>
      <c r="D3" s="166"/>
      <c r="E3" s="166"/>
      <c r="F3" s="167"/>
      <c r="G3" s="166"/>
      <c r="H3" s="166"/>
      <c r="I3" s="166"/>
      <c r="J3" s="168" t="s">
        <v>450</v>
      </c>
    </row>
    <row r="4" spans="1:19" s="172" customFormat="1" ht="15.75">
      <c r="A4" s="170"/>
      <c r="B4" s="171"/>
      <c r="C4" s="245" t="s">
        <v>132</v>
      </c>
      <c r="D4" s="246"/>
      <c r="E4" s="246"/>
      <c r="F4" s="247"/>
      <c r="G4" s="245" t="s">
        <v>133</v>
      </c>
      <c r="H4" s="246"/>
      <c r="I4" s="246"/>
      <c r="J4" s="247"/>
      <c r="K4"/>
      <c r="L4"/>
      <c r="M4"/>
      <c r="N4"/>
      <c r="O4"/>
      <c r="P4"/>
      <c r="Q4"/>
      <c r="R4"/>
      <c r="S4"/>
    </row>
    <row r="5" spans="1:19" ht="15">
      <c r="A5" s="173"/>
      <c r="B5" s="174"/>
      <c r="C5" s="15" t="s">
        <v>346</v>
      </c>
      <c r="D5" s="10"/>
      <c r="E5" s="226"/>
      <c r="F5" s="223" t="s">
        <v>347</v>
      </c>
      <c r="G5" s="15" t="s">
        <v>346</v>
      </c>
      <c r="H5" s="10"/>
      <c r="I5" s="226"/>
      <c r="J5" s="224" t="s">
        <v>347</v>
      </c>
      <c r="K5"/>
      <c r="L5"/>
      <c r="M5"/>
      <c r="N5"/>
      <c r="O5"/>
      <c r="P5"/>
      <c r="Q5"/>
      <c r="R5"/>
      <c r="S5"/>
    </row>
    <row r="6" spans="1:19" ht="51">
      <c r="A6" s="176"/>
      <c r="B6" s="177"/>
      <c r="C6" s="86" t="s">
        <v>134</v>
      </c>
      <c r="D6" s="248" t="s">
        <v>348</v>
      </c>
      <c r="E6" s="225" t="s">
        <v>349</v>
      </c>
      <c r="F6" s="249"/>
      <c r="G6" s="86" t="s">
        <v>134</v>
      </c>
      <c r="H6" s="248" t="s">
        <v>348</v>
      </c>
      <c r="I6" s="225" t="s">
        <v>349</v>
      </c>
      <c r="J6" s="249"/>
      <c r="K6"/>
      <c r="L6"/>
      <c r="M6"/>
      <c r="N6"/>
      <c r="O6"/>
      <c r="P6"/>
      <c r="Q6"/>
      <c r="R6"/>
      <c r="S6"/>
    </row>
    <row r="7" spans="1:19" s="182" customFormat="1" ht="12.75">
      <c r="A7" s="178"/>
      <c r="B7" s="179"/>
      <c r="C7" s="5"/>
      <c r="D7" s="5"/>
      <c r="E7" s="5"/>
      <c r="F7" s="4"/>
      <c r="G7" s="5"/>
      <c r="H7" s="5"/>
      <c r="I7" s="5"/>
      <c r="J7" s="4"/>
      <c r="K7"/>
      <c r="L7"/>
      <c r="M7"/>
      <c r="N7"/>
      <c r="O7"/>
      <c r="P7"/>
      <c r="Q7"/>
      <c r="R7"/>
      <c r="S7"/>
    </row>
    <row r="8" spans="1:19" s="186" customFormat="1" ht="19.5" customHeight="1">
      <c r="A8" s="204"/>
      <c r="B8" s="229" t="s">
        <v>43</v>
      </c>
      <c r="C8" s="184">
        <f>125+45+56+387+13+3+997+825+18</f>
        <v>2469</v>
      </c>
      <c r="D8" s="184">
        <f>21+306+275+2020</f>
        <v>2622</v>
      </c>
      <c r="E8" s="184">
        <f>1200+997+825</f>
        <v>3022</v>
      </c>
      <c r="F8" s="185">
        <f aca="true" t="shared" si="0" ref="F8:F16">SUM(C8:E8)</f>
        <v>8113</v>
      </c>
      <c r="G8" s="184">
        <f>125+45+56+387+13+3+997+825+18</f>
        <v>2469</v>
      </c>
      <c r="H8" s="184">
        <f>21+306+275+2020</f>
        <v>2622</v>
      </c>
      <c r="I8" s="184">
        <f>1200+997+825</f>
        <v>3022</v>
      </c>
      <c r="J8" s="185">
        <f aca="true" t="shared" si="1" ref="J8:J16">SUM(G8:I8)</f>
        <v>8113</v>
      </c>
      <c r="K8"/>
      <c r="L8"/>
      <c r="M8"/>
      <c r="N8"/>
      <c r="O8"/>
      <c r="P8"/>
      <c r="Q8"/>
      <c r="R8"/>
      <c r="S8"/>
    </row>
    <row r="9" spans="1:19" s="186" customFormat="1" ht="19.5" customHeight="1">
      <c r="A9" s="204"/>
      <c r="B9" s="229" t="s">
        <v>44</v>
      </c>
      <c r="C9" s="184">
        <f>3000+1368+35+1500+65</f>
        <v>5968</v>
      </c>
      <c r="D9" s="184">
        <f>898+41</f>
        <v>939</v>
      </c>
      <c r="E9" s="184">
        <v>5</v>
      </c>
      <c r="F9" s="185">
        <f t="shared" si="0"/>
        <v>6912</v>
      </c>
      <c r="G9" s="184">
        <f>3000+1368+35+1500+65</f>
        <v>5968</v>
      </c>
      <c r="H9" s="184">
        <f>898+41</f>
        <v>939</v>
      </c>
      <c r="I9" s="184">
        <v>5</v>
      </c>
      <c r="J9" s="185">
        <f t="shared" si="1"/>
        <v>6912</v>
      </c>
      <c r="K9"/>
      <c r="L9"/>
      <c r="M9"/>
      <c r="N9"/>
      <c r="O9"/>
      <c r="P9"/>
      <c r="Q9"/>
      <c r="R9"/>
      <c r="S9"/>
    </row>
    <row r="10" spans="1:19" s="187" customFormat="1" ht="19.5" customHeight="1">
      <c r="A10" s="204"/>
      <c r="B10" s="183" t="s">
        <v>350</v>
      </c>
      <c r="C10" s="184">
        <f>462+3076+462+72+88+53+18+46+500+466+60+2034+400+71+160+1100+499+25+4</f>
        <v>9596</v>
      </c>
      <c r="D10" s="184">
        <f>43+300</f>
        <v>343</v>
      </c>
      <c r="E10" s="184">
        <f>23+50+16+142</f>
        <v>231</v>
      </c>
      <c r="F10" s="185">
        <f t="shared" si="0"/>
        <v>10170</v>
      </c>
      <c r="G10" s="184">
        <f>462+3076+462+72+88+53+18+46+500+466+60+2034+400+71+160+1100+499+25+4</f>
        <v>9596</v>
      </c>
      <c r="H10" s="184">
        <f>43+300</f>
        <v>343</v>
      </c>
      <c r="I10" s="184">
        <f>23+50+16+142</f>
        <v>231</v>
      </c>
      <c r="J10" s="185">
        <f t="shared" si="1"/>
        <v>10170</v>
      </c>
      <c r="K10"/>
      <c r="L10"/>
      <c r="M10"/>
      <c r="N10"/>
      <c r="O10"/>
      <c r="P10"/>
      <c r="Q10"/>
      <c r="R10"/>
      <c r="S10"/>
    </row>
    <row r="11" spans="1:19" s="187" customFormat="1" ht="19.5" customHeight="1">
      <c r="A11" s="204"/>
      <c r="B11" s="183" t="s">
        <v>351</v>
      </c>
      <c r="C11" s="184">
        <f>7+440+8+90+439+1204+14+12+101+74+46+95+14+360+15+461+77+800+400+85+305+73+16+43+81</f>
        <v>5260</v>
      </c>
      <c r="D11" s="184">
        <f>6+350+14+16+350+100</f>
        <v>836</v>
      </c>
      <c r="E11" s="184">
        <f>223+590+75+1816+4650+114</f>
        <v>7468</v>
      </c>
      <c r="F11" s="185">
        <f t="shared" si="0"/>
        <v>13564</v>
      </c>
      <c r="G11" s="184">
        <f>7+440+8+90+439+1204+14+12+101+74+46+95+14+360+15+461+77+800+400+85+305+73+16+43+81</f>
        <v>5260</v>
      </c>
      <c r="H11" s="184">
        <f>6+350+14+16+350+100</f>
        <v>836</v>
      </c>
      <c r="I11" s="184">
        <f>223+590+75+1816+4650+114</f>
        <v>7468</v>
      </c>
      <c r="J11" s="185">
        <f t="shared" si="1"/>
        <v>13564</v>
      </c>
      <c r="K11"/>
      <c r="L11"/>
      <c r="M11"/>
      <c r="N11"/>
      <c r="O11"/>
      <c r="P11"/>
      <c r="Q11"/>
      <c r="R11"/>
      <c r="S11"/>
    </row>
    <row r="12" spans="1:19" s="187" customFormat="1" ht="19.5" customHeight="1">
      <c r="A12" s="204"/>
      <c r="B12" s="228" t="s">
        <v>46</v>
      </c>
      <c r="C12" s="184">
        <f>800+3000+51+170+336+4560+500+810+15+351</f>
        <v>10593</v>
      </c>
      <c r="D12" s="184">
        <f>12+270+92+751+26+150+1011</f>
        <v>2312</v>
      </c>
      <c r="E12" s="184"/>
      <c r="F12" s="185">
        <f t="shared" si="0"/>
        <v>12905</v>
      </c>
      <c r="G12" s="184">
        <f>800+3000+51+170+336+4560+810+15</f>
        <v>9742</v>
      </c>
      <c r="H12" s="184">
        <f>12+270+92+751+26+150+1011</f>
        <v>2312</v>
      </c>
      <c r="I12" s="184"/>
      <c r="J12" s="185">
        <f t="shared" si="1"/>
        <v>12054</v>
      </c>
      <c r="K12"/>
      <c r="L12"/>
      <c r="M12"/>
      <c r="N12"/>
      <c r="O12"/>
      <c r="P12"/>
      <c r="Q12"/>
      <c r="R12"/>
      <c r="S12"/>
    </row>
    <row r="13" spans="1:19" s="187" customFormat="1" ht="19.5" customHeight="1">
      <c r="A13" s="204"/>
      <c r="B13" s="183" t="s">
        <v>352</v>
      </c>
      <c r="C13" s="184">
        <f>3000+1050+1444+1156+49+1189+1000+249+49+89+10000+16</f>
        <v>19291</v>
      </c>
      <c r="D13" s="184">
        <f>46+758+476+468+76+469+470+56+33+75+2114+150+128+11+245</f>
        <v>5575</v>
      </c>
      <c r="E13" s="184">
        <f>126+750+245+391+565</f>
        <v>2077</v>
      </c>
      <c r="F13" s="185">
        <f t="shared" si="0"/>
        <v>26943</v>
      </c>
      <c r="G13" s="184">
        <f>3000+1050+1444+1156+49+1189+1000+249+49+89+10000+16</f>
        <v>19291</v>
      </c>
      <c r="H13" s="184">
        <f>46+758+476+468+76+469+470+56+33+75+2114+150+128+11+245</f>
        <v>5575</v>
      </c>
      <c r="I13" s="184">
        <f>126+750+245+391+565</f>
        <v>2077</v>
      </c>
      <c r="J13" s="185">
        <f t="shared" si="1"/>
        <v>26943</v>
      </c>
      <c r="K13"/>
      <c r="L13"/>
      <c r="M13"/>
      <c r="N13"/>
      <c r="O13"/>
      <c r="P13"/>
      <c r="Q13"/>
      <c r="R13"/>
      <c r="S13"/>
    </row>
    <row r="14" spans="1:19" s="187" customFormat="1" ht="19.5" customHeight="1">
      <c r="A14" s="204"/>
      <c r="B14" s="183" t="s">
        <v>353</v>
      </c>
      <c r="C14" s="184">
        <f>4500+8+565</f>
        <v>5073</v>
      </c>
      <c r="D14" s="184">
        <f>26+103+22+30+1632+71+775+1309+34+980+42+128+1000+1050+1313+1782+289+195+740+805+73+20+975+900+18000+4968+3398</f>
        <v>40660</v>
      </c>
      <c r="E14" s="184">
        <f>1412</f>
        <v>1412</v>
      </c>
      <c r="F14" s="185">
        <f t="shared" si="0"/>
        <v>47145</v>
      </c>
      <c r="G14" s="184">
        <f>4500+8+565</f>
        <v>5073</v>
      </c>
      <c r="H14" s="184">
        <f>26+103+22+30+1632+71+775+1309+34+980+42+128+1000+1050+1313+1782+289+195+740+805+73+20+975+900+18000+4968+3398</f>
        <v>40660</v>
      </c>
      <c r="I14" s="184">
        <f>1412</f>
        <v>1412</v>
      </c>
      <c r="J14" s="185">
        <f t="shared" si="1"/>
        <v>47145</v>
      </c>
      <c r="K14"/>
      <c r="L14"/>
      <c r="M14"/>
      <c r="N14"/>
      <c r="O14"/>
      <c r="P14"/>
      <c r="Q14"/>
      <c r="R14"/>
      <c r="S14"/>
    </row>
    <row r="15" spans="1:19" s="186" customFormat="1" ht="19.5" customHeight="1">
      <c r="A15" s="204"/>
      <c r="B15" s="183" t="s">
        <v>354</v>
      </c>
      <c r="C15" s="184">
        <f>60+12+55</f>
        <v>127</v>
      </c>
      <c r="D15" s="184">
        <f>550+256+500+531+44+26+90+50+8+44+45+23+1250</f>
        <v>3417</v>
      </c>
      <c r="E15" s="184"/>
      <c r="F15" s="185">
        <f t="shared" si="0"/>
        <v>3544</v>
      </c>
      <c r="G15" s="184">
        <f>60+12+55</f>
        <v>127</v>
      </c>
      <c r="H15" s="184">
        <f>550+256+500+531+44+26+90+50+8+44+45+23+1250</f>
        <v>3417</v>
      </c>
      <c r="I15" s="184"/>
      <c r="J15" s="185">
        <f t="shared" si="1"/>
        <v>3544</v>
      </c>
      <c r="K15"/>
      <c r="L15"/>
      <c r="M15"/>
      <c r="N15"/>
      <c r="O15"/>
      <c r="P15"/>
      <c r="Q15"/>
      <c r="R15"/>
      <c r="S15"/>
    </row>
    <row r="16" spans="1:19" s="187" customFormat="1" ht="19.5" customHeight="1">
      <c r="A16" s="204"/>
      <c r="B16" s="183" t="s">
        <v>355</v>
      </c>
      <c r="C16" s="184">
        <f>1500+50+75+5+47+500+9+28+2000</f>
        <v>4214</v>
      </c>
      <c r="D16" s="184">
        <f>300+157+8+4+132+8+250+17+200+100+11+36</f>
        <v>1223</v>
      </c>
      <c r="E16" s="184"/>
      <c r="F16" s="185">
        <f t="shared" si="0"/>
        <v>5437</v>
      </c>
      <c r="G16" s="184">
        <f>1500+50+75+5+47+500+9+28</f>
        <v>2214</v>
      </c>
      <c r="H16" s="184">
        <f>300+157+8+4+132+8+250+17+200+100+11+36</f>
        <v>1223</v>
      </c>
      <c r="I16" s="184"/>
      <c r="J16" s="185">
        <f t="shared" si="1"/>
        <v>3437</v>
      </c>
      <c r="K16"/>
      <c r="L16"/>
      <c r="M16"/>
      <c r="N16"/>
      <c r="O16"/>
      <c r="P16"/>
      <c r="Q16"/>
      <c r="R16"/>
      <c r="S16"/>
    </row>
    <row r="17" spans="1:19" s="189" customFormat="1" ht="12.75">
      <c r="A17" s="178"/>
      <c r="B17" s="188"/>
      <c r="C17" s="180"/>
      <c r="D17" s="180"/>
      <c r="E17" s="180"/>
      <c r="F17" s="181"/>
      <c r="G17" s="180"/>
      <c r="H17" s="180"/>
      <c r="I17" s="180"/>
      <c r="J17" s="181"/>
      <c r="K17"/>
      <c r="L17"/>
      <c r="M17"/>
      <c r="N17"/>
      <c r="O17"/>
      <c r="P17"/>
      <c r="Q17"/>
      <c r="R17"/>
      <c r="S17"/>
    </row>
    <row r="18" spans="1:19" s="183" customFormat="1" ht="12.75">
      <c r="A18" s="266" t="s">
        <v>356</v>
      </c>
      <c r="B18" s="267"/>
      <c r="C18" s="268">
        <f>SUM(C8:C16)</f>
        <v>62591</v>
      </c>
      <c r="D18" s="268">
        <f>SUM(D8:D16)</f>
        <v>57927</v>
      </c>
      <c r="E18" s="268">
        <f>SUM(E8:E16)</f>
        <v>14215</v>
      </c>
      <c r="F18" s="268">
        <f>SUM(C18:E18)</f>
        <v>134733</v>
      </c>
      <c r="G18" s="268">
        <f>SUM(G8:G16)</f>
        <v>59740</v>
      </c>
      <c r="H18" s="268">
        <f>SUM(H8:H16)</f>
        <v>57927</v>
      </c>
      <c r="I18" s="268">
        <f>SUM(I8:I16)</f>
        <v>14215</v>
      </c>
      <c r="J18" s="268">
        <f>SUM(G18:I18)</f>
        <v>131882</v>
      </c>
      <c r="K18"/>
      <c r="L18"/>
      <c r="M18"/>
      <c r="N18"/>
      <c r="O18"/>
      <c r="P18"/>
      <c r="Q18"/>
      <c r="R18"/>
      <c r="S18"/>
    </row>
    <row r="19" spans="1:19" s="189" customFormat="1" ht="12" customHeight="1">
      <c r="A19" s="178"/>
      <c r="B19" s="188"/>
      <c r="C19" s="180"/>
      <c r="D19" s="180"/>
      <c r="E19" s="180"/>
      <c r="F19" s="181"/>
      <c r="G19" s="180"/>
      <c r="H19" s="180"/>
      <c r="I19" s="180"/>
      <c r="J19" s="181"/>
      <c r="K19"/>
      <c r="L19"/>
      <c r="M19"/>
      <c r="N19"/>
      <c r="O19"/>
      <c r="P19"/>
      <c r="Q19"/>
      <c r="R19"/>
      <c r="S19"/>
    </row>
    <row r="20" spans="1:19" s="186" customFormat="1" ht="19.5" customHeight="1">
      <c r="A20" s="190"/>
      <c r="B20" s="191" t="s">
        <v>357</v>
      </c>
      <c r="C20" s="184">
        <f>48+3+215+300</f>
        <v>566</v>
      </c>
      <c r="D20" s="184">
        <f>17+39</f>
        <v>56</v>
      </c>
      <c r="E20" s="184"/>
      <c r="F20" s="185">
        <f aca="true" t="shared" si="2" ref="F20:F29">SUM(C20:E20)</f>
        <v>622</v>
      </c>
      <c r="G20" s="184">
        <f>48+3+215+300</f>
        <v>566</v>
      </c>
      <c r="H20" s="184">
        <f>17+39</f>
        <v>56</v>
      </c>
      <c r="I20" s="184"/>
      <c r="J20" s="185">
        <f aca="true" t="shared" si="3" ref="J20:J29">SUM(G20:I20)</f>
        <v>622</v>
      </c>
      <c r="K20"/>
      <c r="L20"/>
      <c r="M20"/>
      <c r="N20"/>
      <c r="O20"/>
      <c r="P20"/>
      <c r="Q20"/>
      <c r="R20"/>
      <c r="S20"/>
    </row>
    <row r="21" spans="1:19" s="186" customFormat="1" ht="19.5" customHeight="1">
      <c r="A21" s="190"/>
      <c r="B21" s="191" t="s">
        <v>358</v>
      </c>
      <c r="C21" s="184">
        <f>500+45+17+960</f>
        <v>1522</v>
      </c>
      <c r="D21" s="184">
        <f>239+9</f>
        <v>248</v>
      </c>
      <c r="E21" s="184">
        <v>100</v>
      </c>
      <c r="F21" s="185">
        <f t="shared" si="2"/>
        <v>1870</v>
      </c>
      <c r="G21" s="184">
        <f>45+500+17</f>
        <v>562</v>
      </c>
      <c r="H21" s="184">
        <f>239+9</f>
        <v>248</v>
      </c>
      <c r="I21" s="184">
        <v>100</v>
      </c>
      <c r="J21" s="185">
        <f t="shared" si="3"/>
        <v>910</v>
      </c>
      <c r="K21"/>
      <c r="L21"/>
      <c r="M21"/>
      <c r="N21"/>
      <c r="O21"/>
      <c r="P21"/>
      <c r="Q21"/>
      <c r="R21"/>
      <c r="S21"/>
    </row>
    <row r="22" spans="1:19" s="187" customFormat="1" ht="19.5" customHeight="1">
      <c r="A22" s="190"/>
      <c r="B22" s="191" t="s">
        <v>359</v>
      </c>
      <c r="C22" s="184">
        <f>115+200+300+250</f>
        <v>865</v>
      </c>
      <c r="D22" s="184">
        <f>8+2+24+28+6</f>
        <v>68</v>
      </c>
      <c r="E22" s="184"/>
      <c r="F22" s="185">
        <f t="shared" si="2"/>
        <v>933</v>
      </c>
      <c r="G22" s="184">
        <f>115+200+300</f>
        <v>615</v>
      </c>
      <c r="H22" s="184">
        <f>8+2+24+28+6</f>
        <v>68</v>
      </c>
      <c r="I22" s="184"/>
      <c r="J22" s="185">
        <f t="shared" si="3"/>
        <v>683</v>
      </c>
      <c r="K22"/>
      <c r="L22"/>
      <c r="M22"/>
      <c r="N22"/>
      <c r="O22"/>
      <c r="P22"/>
      <c r="Q22"/>
      <c r="R22"/>
      <c r="S22"/>
    </row>
    <row r="23" spans="1:19" s="183" customFormat="1" ht="19.5" customHeight="1">
      <c r="A23" s="192"/>
      <c r="B23" s="191" t="s">
        <v>360</v>
      </c>
      <c r="C23" s="184">
        <f>18+2+300</f>
        <v>320</v>
      </c>
      <c r="D23" s="184"/>
      <c r="E23" s="184"/>
      <c r="F23" s="185">
        <f t="shared" si="2"/>
        <v>320</v>
      </c>
      <c r="G23" s="184">
        <f>18+2+300</f>
        <v>320</v>
      </c>
      <c r="H23" s="184"/>
      <c r="I23" s="184"/>
      <c r="J23" s="185">
        <f t="shared" si="3"/>
        <v>320</v>
      </c>
      <c r="K23"/>
      <c r="L23"/>
      <c r="M23"/>
      <c r="N23"/>
      <c r="O23"/>
      <c r="P23"/>
      <c r="Q23"/>
      <c r="R23"/>
      <c r="S23"/>
    </row>
    <row r="24" spans="1:19" s="186" customFormat="1" ht="19.5" customHeight="1">
      <c r="A24" s="190"/>
      <c r="B24" s="191" t="s">
        <v>361</v>
      </c>
      <c r="C24" s="184">
        <f>520+210</f>
        <v>730</v>
      </c>
      <c r="D24" s="184">
        <f>41+8</f>
        <v>49</v>
      </c>
      <c r="E24" s="184"/>
      <c r="F24" s="185">
        <f t="shared" si="2"/>
        <v>779</v>
      </c>
      <c r="G24" s="184">
        <v>520</v>
      </c>
      <c r="H24" s="184">
        <f>41+8</f>
        <v>49</v>
      </c>
      <c r="I24" s="184"/>
      <c r="J24" s="185">
        <f t="shared" si="3"/>
        <v>569</v>
      </c>
      <c r="K24"/>
      <c r="L24"/>
      <c r="M24"/>
      <c r="N24"/>
      <c r="O24"/>
      <c r="P24"/>
      <c r="Q24"/>
      <c r="R24"/>
      <c r="S24"/>
    </row>
    <row r="25" spans="1:19" s="186" customFormat="1" ht="19.5" customHeight="1">
      <c r="A25" s="190"/>
      <c r="B25" s="191" t="s">
        <v>362</v>
      </c>
      <c r="C25" s="184">
        <f>43+41</f>
        <v>84</v>
      </c>
      <c r="D25" s="184">
        <f>46+17</f>
        <v>63</v>
      </c>
      <c r="E25" s="184"/>
      <c r="F25" s="185">
        <f t="shared" si="2"/>
        <v>147</v>
      </c>
      <c r="G25" s="184">
        <f>43+41</f>
        <v>84</v>
      </c>
      <c r="H25" s="184">
        <f>46+17</f>
        <v>63</v>
      </c>
      <c r="I25" s="184"/>
      <c r="J25" s="185">
        <f t="shared" si="3"/>
        <v>147</v>
      </c>
      <c r="K25"/>
      <c r="L25"/>
      <c r="M25"/>
      <c r="N25"/>
      <c r="O25"/>
      <c r="P25"/>
      <c r="Q25"/>
      <c r="R25"/>
      <c r="S25"/>
    </row>
    <row r="26" spans="1:19" s="186" customFormat="1" ht="19.5" customHeight="1">
      <c r="A26" s="190"/>
      <c r="B26" s="191" t="s">
        <v>363</v>
      </c>
      <c r="C26" s="184">
        <f>3000+1200+96+300</f>
        <v>4596</v>
      </c>
      <c r="D26" s="184">
        <f>15+106+36+180</f>
        <v>337</v>
      </c>
      <c r="E26" s="184"/>
      <c r="F26" s="185">
        <f t="shared" si="2"/>
        <v>4933</v>
      </c>
      <c r="G26" s="184">
        <f>3000+96+1200+300</f>
        <v>4596</v>
      </c>
      <c r="H26" s="184">
        <f>15+106+36+180</f>
        <v>337</v>
      </c>
      <c r="I26" s="184"/>
      <c r="J26" s="185">
        <f t="shared" si="3"/>
        <v>4933</v>
      </c>
      <c r="K26"/>
      <c r="L26"/>
      <c r="M26"/>
      <c r="N26"/>
      <c r="O26"/>
      <c r="P26"/>
      <c r="Q26"/>
      <c r="R26"/>
      <c r="S26"/>
    </row>
    <row r="27" spans="1:19" s="186" customFormat="1" ht="19.5" customHeight="1">
      <c r="A27" s="190"/>
      <c r="B27" s="191" t="s">
        <v>364</v>
      </c>
      <c r="C27" s="184">
        <f>46+600</f>
        <v>646</v>
      </c>
      <c r="D27" s="184"/>
      <c r="E27" s="184"/>
      <c r="F27" s="185">
        <f t="shared" si="2"/>
        <v>646</v>
      </c>
      <c r="G27" s="184">
        <f>46+600</f>
        <v>646</v>
      </c>
      <c r="H27" s="184"/>
      <c r="I27" s="184"/>
      <c r="J27" s="185">
        <f t="shared" si="3"/>
        <v>646</v>
      </c>
      <c r="K27"/>
      <c r="L27"/>
      <c r="M27"/>
      <c r="N27"/>
      <c r="O27"/>
      <c r="P27"/>
      <c r="Q27"/>
      <c r="R27"/>
      <c r="S27"/>
    </row>
    <row r="28" spans="1:19" s="186" customFormat="1" ht="19.5" customHeight="1">
      <c r="A28" s="190"/>
      <c r="B28" s="191" t="s">
        <v>365</v>
      </c>
      <c r="C28" s="184">
        <f>41+17+350+350+500+38</f>
        <v>1296</v>
      </c>
      <c r="D28" s="184"/>
      <c r="E28" s="184"/>
      <c r="F28" s="185">
        <f t="shared" si="2"/>
        <v>1296</v>
      </c>
      <c r="G28" s="184">
        <f>41+17+350+350+500+38</f>
        <v>1296</v>
      </c>
      <c r="H28" s="184"/>
      <c r="I28" s="184"/>
      <c r="J28" s="185">
        <f t="shared" si="3"/>
        <v>1296</v>
      </c>
      <c r="K28"/>
      <c r="L28"/>
      <c r="M28"/>
      <c r="N28"/>
      <c r="O28"/>
      <c r="P28"/>
      <c r="Q28"/>
      <c r="R28"/>
      <c r="S28"/>
    </row>
    <row r="29" spans="1:19" s="186" customFormat="1" ht="19.5" customHeight="1">
      <c r="A29" s="190"/>
      <c r="B29" s="191" t="s">
        <v>78</v>
      </c>
      <c r="C29" s="184">
        <f>121+23</f>
        <v>144</v>
      </c>
      <c r="D29" s="184">
        <f>18+46</f>
        <v>64</v>
      </c>
      <c r="E29" s="184"/>
      <c r="F29" s="185">
        <f t="shared" si="2"/>
        <v>208</v>
      </c>
      <c r="G29" s="184">
        <f>121+23</f>
        <v>144</v>
      </c>
      <c r="H29" s="184">
        <f>18+46</f>
        <v>64</v>
      </c>
      <c r="I29" s="184"/>
      <c r="J29" s="185">
        <f t="shared" si="3"/>
        <v>208</v>
      </c>
      <c r="K29"/>
      <c r="L29"/>
      <c r="M29"/>
      <c r="N29"/>
      <c r="O29"/>
      <c r="P29"/>
      <c r="Q29"/>
      <c r="R29"/>
      <c r="S29"/>
    </row>
    <row r="30" spans="1:19" s="189" customFormat="1" ht="12.75">
      <c r="A30" s="178"/>
      <c r="B30" s="179"/>
      <c r="C30" s="184"/>
      <c r="D30" s="184"/>
      <c r="E30" s="184"/>
      <c r="F30" s="185"/>
      <c r="G30" s="184"/>
      <c r="H30" s="184"/>
      <c r="I30" s="184"/>
      <c r="J30" s="185"/>
      <c r="K30"/>
      <c r="L30"/>
      <c r="M30"/>
      <c r="N30"/>
      <c r="O30"/>
      <c r="P30"/>
      <c r="Q30"/>
      <c r="R30"/>
      <c r="S30"/>
    </row>
    <row r="31" spans="1:19" s="183" customFormat="1" ht="15.75" customHeight="1">
      <c r="A31" s="266" t="s">
        <v>366</v>
      </c>
      <c r="B31" s="267"/>
      <c r="C31" s="268">
        <f>SUM(C20:C29)</f>
        <v>10769</v>
      </c>
      <c r="D31" s="268">
        <f>SUM(D20:D29)</f>
        <v>885</v>
      </c>
      <c r="E31" s="268">
        <f>SUM(E20:E29)</f>
        <v>100</v>
      </c>
      <c r="F31" s="268">
        <f>SUM(C31:E31)</f>
        <v>11754</v>
      </c>
      <c r="G31" s="268">
        <f>SUM(G20:G29)</f>
        <v>9349</v>
      </c>
      <c r="H31" s="268">
        <f>SUM(H20:H29)</f>
        <v>885</v>
      </c>
      <c r="I31" s="268">
        <f>SUM(I20:I29)</f>
        <v>100</v>
      </c>
      <c r="J31" s="268">
        <f>SUM(G31:I31)</f>
        <v>10334</v>
      </c>
      <c r="K31"/>
      <c r="L31"/>
      <c r="M31"/>
      <c r="N31"/>
      <c r="O31"/>
      <c r="P31"/>
      <c r="Q31"/>
      <c r="R31"/>
      <c r="S31"/>
    </row>
    <row r="32" spans="1:19" s="193" customFormat="1" ht="31.5" customHeight="1">
      <c r="A32" s="269"/>
      <c r="B32" s="270" t="s">
        <v>367</v>
      </c>
      <c r="C32" s="271">
        <f aca="true" t="shared" si="4" ref="C32:J32">C31+C18</f>
        <v>73360</v>
      </c>
      <c r="D32" s="271">
        <f t="shared" si="4"/>
        <v>58812</v>
      </c>
      <c r="E32" s="271">
        <f t="shared" si="4"/>
        <v>14315</v>
      </c>
      <c r="F32" s="271">
        <f t="shared" si="4"/>
        <v>146487</v>
      </c>
      <c r="G32" s="271">
        <f t="shared" si="4"/>
        <v>69089</v>
      </c>
      <c r="H32" s="271">
        <f t="shared" si="4"/>
        <v>58812</v>
      </c>
      <c r="I32" s="271">
        <f t="shared" si="4"/>
        <v>14315</v>
      </c>
      <c r="J32" s="271">
        <f t="shared" si="4"/>
        <v>142216</v>
      </c>
      <c r="K32"/>
      <c r="L32"/>
      <c r="M32"/>
      <c r="N32"/>
      <c r="O32"/>
      <c r="P32"/>
      <c r="Q32"/>
      <c r="R32"/>
      <c r="S32"/>
    </row>
    <row r="33" spans="1:10" s="193" customFormat="1" ht="15.75" customHeight="1">
      <c r="A33" s="194"/>
      <c r="B33" s="205"/>
      <c r="C33" s="206"/>
      <c r="D33" s="206"/>
      <c r="E33" s="206"/>
      <c r="F33" s="206"/>
      <c r="G33" s="206"/>
      <c r="H33" s="206"/>
      <c r="I33" s="206"/>
      <c r="J33" s="206"/>
    </row>
    <row r="34" spans="1:12" s="193" customFormat="1" ht="7.5" customHeight="1">
      <c r="A34" s="194"/>
      <c r="B34" s="205"/>
      <c r="E34" s="242"/>
      <c r="F34" s="242"/>
      <c r="K34" s="314"/>
      <c r="L34" s="314"/>
    </row>
    <row r="35" spans="1:10" s="193" customFormat="1" ht="15.75" customHeight="1" thickBot="1">
      <c r="A35" s="194"/>
      <c r="B35" s="205"/>
      <c r="C35" s="206"/>
      <c r="D35" s="206"/>
      <c r="E35" s="206"/>
      <c r="F35" s="206"/>
      <c r="G35" s="206"/>
      <c r="H35" s="206"/>
      <c r="I35" s="206"/>
      <c r="J35" s="206"/>
    </row>
    <row r="36" spans="1:15" s="195" customFormat="1" ht="41.25" customHeight="1" thickBot="1">
      <c r="A36" s="207"/>
      <c r="B36" s="208"/>
      <c r="C36" s="209"/>
      <c r="E36" s="544"/>
      <c r="F36" s="544"/>
      <c r="G36" s="548" t="s">
        <v>476</v>
      </c>
      <c r="H36" s="549"/>
      <c r="I36" s="549"/>
      <c r="J36" s="550"/>
      <c r="K36" s="547"/>
      <c r="L36" s="209"/>
      <c r="M36" s="211"/>
      <c r="N36" s="209"/>
      <c r="O36" s="196"/>
    </row>
    <row r="37" spans="1:15" s="195" customFormat="1" ht="11.25">
      <c r="A37" s="207"/>
      <c r="B37" s="208"/>
      <c r="C37" s="209"/>
      <c r="F37" s="210"/>
      <c r="H37" s="209"/>
      <c r="I37" s="209"/>
      <c r="J37" s="209"/>
      <c r="K37" s="209"/>
      <c r="L37" s="209"/>
      <c r="M37" s="211"/>
      <c r="N37" s="209"/>
      <c r="O37" s="196"/>
    </row>
    <row r="39" ht="12">
      <c r="D39" s="212"/>
    </row>
    <row r="44" ht="12">
      <c r="G44" s="545"/>
    </row>
  </sheetData>
  <mergeCells count="1">
    <mergeCell ref="G36:J36"/>
  </mergeCells>
  <printOptions horizontalCentered="1"/>
  <pageMargins left="0.3937007874015748" right="0.3937007874015748" top="0.5905511811023623" bottom="0.35433070866141736" header="0.5118110236220472" footer="0.31496062992125984"/>
  <pageSetup firstPageNumber="1" useFirstPageNumber="1" fitToHeight="1" fitToWidth="1" horizontalDpi="600" verticalDpi="600" orientation="landscape" paperSize="9" scale="76" r:id="rId2"/>
  <headerFooter alignWithMargins="0">
    <oddFooter>&amp;R&amp;"Times New Roman,Grassetto"&amp;14&amp;P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0"/>
  <sheetViews>
    <sheetView zoomScale="75" zoomScaleNormal="75" workbookViewId="0" topLeftCell="A36">
      <selection activeCell="A1" sqref="A1:D1"/>
    </sheetView>
  </sheetViews>
  <sheetFormatPr defaultColWidth="9.140625" defaultRowHeight="12.75"/>
  <cols>
    <col min="1" max="1" width="4.28125" style="48" customWidth="1"/>
    <col min="2" max="2" width="44.00390625" style="47" customWidth="1"/>
    <col min="3" max="3" width="3.8515625" style="139" customWidth="1"/>
    <col min="4" max="4" width="9.7109375" style="140" bestFit="1" customWidth="1"/>
    <col min="5" max="5" width="12.8515625" style="45" bestFit="1" customWidth="1"/>
    <col min="6" max="7" width="9.8515625" style="45" customWidth="1"/>
    <col min="8" max="8" width="3.8515625" style="44" customWidth="1"/>
    <col min="9" max="9" width="8.57421875" style="140" bestFit="1" customWidth="1"/>
    <col min="10" max="10" width="10.421875" style="45" customWidth="1"/>
    <col min="11" max="11" width="9.7109375" style="45" bestFit="1" customWidth="1"/>
    <col min="12" max="12" width="9.57421875" style="45" customWidth="1"/>
    <col min="13" max="13" width="3.8515625" style="44" customWidth="1"/>
    <col min="14" max="14" width="27.00390625" style="45" customWidth="1"/>
    <col min="15" max="16384" width="9.140625" style="3" customWidth="1"/>
  </cols>
  <sheetData>
    <row r="1" spans="1:14" s="13" customFormat="1" ht="19.5">
      <c r="A1" s="262" t="s">
        <v>57</v>
      </c>
      <c r="B1" s="148"/>
      <c r="C1" s="67"/>
      <c r="D1" s="67"/>
      <c r="E1" s="141"/>
      <c r="F1" s="141"/>
      <c r="G1" s="141"/>
      <c r="H1" s="6"/>
      <c r="I1" s="67"/>
      <c r="J1" s="141"/>
      <c r="K1" s="141"/>
      <c r="L1" s="141"/>
      <c r="M1" s="6"/>
      <c r="N1" s="141"/>
    </row>
    <row r="2" spans="1:14" s="1" customFormat="1" ht="19.5">
      <c r="A2" s="263" t="s">
        <v>352</v>
      </c>
      <c r="B2" s="149"/>
      <c r="C2" s="67"/>
      <c r="D2" s="67"/>
      <c r="E2" s="6"/>
      <c r="F2" s="6"/>
      <c r="G2" s="6"/>
      <c r="H2" s="6"/>
      <c r="I2" s="67"/>
      <c r="J2" s="6"/>
      <c r="K2" s="6"/>
      <c r="L2" s="6"/>
      <c r="M2" s="6"/>
      <c r="N2" s="6"/>
    </row>
    <row r="3" spans="1:14" s="2" customFormat="1" ht="12">
      <c r="A3" s="20"/>
      <c r="B3" s="39"/>
      <c r="C3" s="139"/>
      <c r="D3" s="139"/>
      <c r="E3" s="7"/>
      <c r="F3" s="7"/>
      <c r="G3" s="19"/>
      <c r="H3" s="19"/>
      <c r="I3" s="139"/>
      <c r="J3" s="7"/>
      <c r="K3" s="7"/>
      <c r="L3" s="19"/>
      <c r="M3" s="19"/>
      <c r="N3" s="32" t="s">
        <v>450</v>
      </c>
    </row>
    <row r="4" spans="1:14" s="127" customFormat="1" ht="15.75">
      <c r="A4" s="136"/>
      <c r="B4" s="150"/>
      <c r="C4" s="142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43"/>
      <c r="N4" s="144"/>
    </row>
    <row r="5" spans="1:14" ht="39" customHeight="1">
      <c r="A5" s="99" t="s">
        <v>399</v>
      </c>
      <c r="B5" s="110"/>
      <c r="C5" s="145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146" t="s">
        <v>400</v>
      </c>
    </row>
    <row r="6" spans="1:14" s="17" customFormat="1" ht="12.75">
      <c r="A6" s="137"/>
      <c r="B6" s="151"/>
      <c r="C6" s="64"/>
      <c r="D6" s="256"/>
      <c r="E6" s="257"/>
      <c r="F6" s="257"/>
      <c r="G6" s="258"/>
      <c r="H6" s="81"/>
      <c r="I6" s="256"/>
      <c r="J6" s="257"/>
      <c r="K6" s="257"/>
      <c r="L6" s="258"/>
      <c r="M6" s="79"/>
      <c r="N6" s="147"/>
    </row>
    <row r="7" spans="1:14" s="18" customFormat="1" ht="24.75" customHeight="1">
      <c r="A7" s="155" t="s">
        <v>424</v>
      </c>
      <c r="B7" s="157"/>
      <c r="C7" s="64"/>
      <c r="D7" s="243">
        <f>SUM(D8:D9)</f>
        <v>375</v>
      </c>
      <c r="E7" s="243"/>
      <c r="F7" s="243"/>
      <c r="G7" s="243"/>
      <c r="H7" s="153"/>
      <c r="I7" s="243">
        <f>SUM(I8:I9)</f>
        <v>375</v>
      </c>
      <c r="J7" s="243"/>
      <c r="K7" s="243"/>
      <c r="L7" s="243"/>
      <c r="M7" s="156"/>
      <c r="N7" s="376"/>
    </row>
    <row r="8" spans="1:14" s="238" customFormat="1" ht="24">
      <c r="A8" s="155"/>
      <c r="B8" s="230" t="s">
        <v>41</v>
      </c>
      <c r="C8" s="64"/>
      <c r="D8" s="98">
        <v>249</v>
      </c>
      <c r="E8" s="98" t="s">
        <v>395</v>
      </c>
      <c r="F8" s="98" t="s">
        <v>145</v>
      </c>
      <c r="G8" s="259">
        <v>37127</v>
      </c>
      <c r="H8" s="421"/>
      <c r="I8" s="98">
        <v>249</v>
      </c>
      <c r="J8" s="98" t="s">
        <v>395</v>
      </c>
      <c r="K8" s="98" t="s">
        <v>145</v>
      </c>
      <c r="L8" s="259">
        <v>37127</v>
      </c>
      <c r="M8" s="235"/>
      <c r="N8" s="306" t="s">
        <v>156</v>
      </c>
    </row>
    <row r="9" spans="1:14" s="238" customFormat="1" ht="12">
      <c r="A9" s="155"/>
      <c r="B9" s="230"/>
      <c r="C9" s="64"/>
      <c r="D9" s="98">
        <v>126</v>
      </c>
      <c r="E9" s="98" t="s">
        <v>149</v>
      </c>
      <c r="F9" s="421"/>
      <c r="G9" s="440"/>
      <c r="H9" s="421"/>
      <c r="I9" s="98">
        <v>126</v>
      </c>
      <c r="J9" s="98" t="s">
        <v>149</v>
      </c>
      <c r="K9" s="421"/>
      <c r="L9" s="440"/>
      <c r="M9" s="235"/>
      <c r="N9" s="306"/>
    </row>
    <row r="10" spans="1:14" s="18" customFormat="1" ht="24.75" customHeight="1">
      <c r="A10" s="155" t="s">
        <v>381</v>
      </c>
      <c r="B10" s="157"/>
      <c r="C10" s="64"/>
      <c r="D10" s="243">
        <f>SUM(D11:D12)</f>
        <v>11189</v>
      </c>
      <c r="E10" s="243"/>
      <c r="F10" s="243"/>
      <c r="G10" s="243"/>
      <c r="H10" s="382"/>
      <c r="I10" s="243">
        <f>SUM(I11:I12)</f>
        <v>11189</v>
      </c>
      <c r="J10" s="243"/>
      <c r="K10" s="243"/>
      <c r="L10" s="243"/>
      <c r="M10" s="156"/>
      <c r="N10" s="306"/>
    </row>
    <row r="11" spans="1:14" s="296" customFormat="1" ht="12">
      <c r="A11" s="155"/>
      <c r="B11" s="234" t="s">
        <v>287</v>
      </c>
      <c r="C11" s="64"/>
      <c r="D11" s="98">
        <v>1189</v>
      </c>
      <c r="E11" s="98" t="s">
        <v>155</v>
      </c>
      <c r="F11" s="98" t="s">
        <v>145</v>
      </c>
      <c r="G11" s="259">
        <v>37049</v>
      </c>
      <c r="H11" s="236"/>
      <c r="I11" s="98">
        <v>1189</v>
      </c>
      <c r="J11" s="98" t="s">
        <v>155</v>
      </c>
      <c r="K11" s="98" t="s">
        <v>145</v>
      </c>
      <c r="L11" s="259">
        <v>37049</v>
      </c>
      <c r="M11" s="235"/>
      <c r="N11" s="383" t="s">
        <v>288</v>
      </c>
    </row>
    <row r="12" spans="1:14" s="48" customFormat="1" ht="46.5" customHeight="1">
      <c r="A12" s="155"/>
      <c r="B12" s="230" t="s">
        <v>53</v>
      </c>
      <c r="C12" s="64"/>
      <c r="D12" s="384">
        <v>10000</v>
      </c>
      <c r="E12" s="98" t="s">
        <v>155</v>
      </c>
      <c r="F12" s="98" t="s">
        <v>408</v>
      </c>
      <c r="G12" s="259">
        <v>37179</v>
      </c>
      <c r="H12" s="236"/>
      <c r="I12" s="384">
        <v>10000</v>
      </c>
      <c r="J12" s="98" t="s">
        <v>155</v>
      </c>
      <c r="K12" s="98" t="s">
        <v>335</v>
      </c>
      <c r="L12" s="259">
        <v>37235</v>
      </c>
      <c r="M12" s="237"/>
      <c r="N12" s="378" t="s">
        <v>409</v>
      </c>
    </row>
    <row r="13" spans="1:14" s="42" customFormat="1" ht="24.75" customHeight="1">
      <c r="A13" s="333" t="s">
        <v>382</v>
      </c>
      <c r="B13" s="157"/>
      <c r="C13" s="382"/>
      <c r="D13" s="243">
        <f>SUM(D14:D30)</f>
        <v>9059</v>
      </c>
      <c r="E13" s="243"/>
      <c r="F13" s="243"/>
      <c r="G13" s="243"/>
      <c r="H13" s="382"/>
      <c r="I13" s="243">
        <f>SUM(I14:I30)</f>
        <v>9059</v>
      </c>
      <c r="J13" s="243"/>
      <c r="K13" s="243"/>
      <c r="L13" s="243"/>
      <c r="M13" s="156"/>
      <c r="N13" s="306"/>
    </row>
    <row r="14" spans="1:14" s="20" customFormat="1" ht="36">
      <c r="A14" s="155"/>
      <c r="B14" s="230" t="s">
        <v>64</v>
      </c>
      <c r="C14" s="64"/>
      <c r="D14" s="98"/>
      <c r="E14" s="98"/>
      <c r="F14" s="98"/>
      <c r="G14" s="259"/>
      <c r="H14" s="236"/>
      <c r="I14" s="98"/>
      <c r="J14" s="98"/>
      <c r="K14" s="98"/>
      <c r="L14" s="259"/>
      <c r="M14" s="235"/>
      <c r="N14" s="331"/>
    </row>
    <row r="15" spans="1:14" s="237" customFormat="1" ht="12">
      <c r="A15" s="155"/>
      <c r="B15" s="393" t="s">
        <v>65</v>
      </c>
      <c r="C15" s="64"/>
      <c r="D15" s="98">
        <v>3000</v>
      </c>
      <c r="E15" s="98" t="s">
        <v>155</v>
      </c>
      <c r="F15" s="98" t="s">
        <v>145</v>
      </c>
      <c r="G15" s="259">
        <v>36979</v>
      </c>
      <c r="H15" s="236"/>
      <c r="I15" s="98">
        <v>3000</v>
      </c>
      <c r="J15" s="98" t="s">
        <v>155</v>
      </c>
      <c r="K15" s="98" t="s">
        <v>239</v>
      </c>
      <c r="L15" s="259">
        <v>37015</v>
      </c>
      <c r="M15" s="235"/>
      <c r="N15" s="331"/>
    </row>
    <row r="16" spans="1:14" s="237" customFormat="1" ht="12">
      <c r="A16" s="155"/>
      <c r="B16" s="393" t="s">
        <v>84</v>
      </c>
      <c r="C16" s="64"/>
      <c r="D16" s="98">
        <v>468</v>
      </c>
      <c r="E16" s="98" t="s">
        <v>262</v>
      </c>
      <c r="F16" s="98" t="s">
        <v>145</v>
      </c>
      <c r="G16" s="259">
        <v>37018</v>
      </c>
      <c r="H16" s="236"/>
      <c r="I16" s="98">
        <v>468</v>
      </c>
      <c r="J16" s="98" t="s">
        <v>262</v>
      </c>
      <c r="K16" s="98" t="s">
        <v>145</v>
      </c>
      <c r="L16" s="259">
        <v>37018</v>
      </c>
      <c r="M16" s="235"/>
      <c r="N16" s="331" t="s">
        <v>263</v>
      </c>
    </row>
    <row r="17" spans="1:14" s="237" customFormat="1" ht="12">
      <c r="A17" s="155"/>
      <c r="B17" s="393" t="s">
        <v>85</v>
      </c>
      <c r="C17" s="64"/>
      <c r="D17" s="98">
        <v>476</v>
      </c>
      <c r="E17" s="98" t="s">
        <v>262</v>
      </c>
      <c r="F17" s="98" t="s">
        <v>145</v>
      </c>
      <c r="G17" s="259">
        <v>37047</v>
      </c>
      <c r="H17" s="236"/>
      <c r="I17" s="98">
        <v>476</v>
      </c>
      <c r="J17" s="98" t="s">
        <v>262</v>
      </c>
      <c r="K17" s="98" t="s">
        <v>145</v>
      </c>
      <c r="L17" s="259">
        <v>37047</v>
      </c>
      <c r="M17" s="235"/>
      <c r="N17" s="331" t="s">
        <v>263</v>
      </c>
    </row>
    <row r="18" spans="1:14" s="237" customFormat="1" ht="12">
      <c r="A18" s="155"/>
      <c r="B18" s="393" t="s">
        <v>86</v>
      </c>
      <c r="C18" s="64"/>
      <c r="D18" s="98">
        <v>469</v>
      </c>
      <c r="E18" s="98" t="s">
        <v>262</v>
      </c>
      <c r="F18" s="98" t="s">
        <v>145</v>
      </c>
      <c r="G18" s="259">
        <v>37095</v>
      </c>
      <c r="H18" s="236"/>
      <c r="I18" s="98">
        <v>469</v>
      </c>
      <c r="J18" s="98" t="s">
        <v>262</v>
      </c>
      <c r="K18" s="98" t="s">
        <v>145</v>
      </c>
      <c r="L18" s="259">
        <v>37095</v>
      </c>
      <c r="M18" s="235"/>
      <c r="N18" s="331" t="s">
        <v>263</v>
      </c>
    </row>
    <row r="19" spans="1:14" s="237" customFormat="1" ht="24">
      <c r="A19" s="155"/>
      <c r="B19" s="393" t="s">
        <v>87</v>
      </c>
      <c r="C19" s="64"/>
      <c r="D19" s="98">
        <v>470</v>
      </c>
      <c r="E19" s="98" t="s">
        <v>262</v>
      </c>
      <c r="F19" s="98" t="s">
        <v>145</v>
      </c>
      <c r="G19" s="259">
        <v>37096</v>
      </c>
      <c r="H19" s="236"/>
      <c r="I19" s="98">
        <v>470</v>
      </c>
      <c r="J19" s="98" t="s">
        <v>262</v>
      </c>
      <c r="K19" s="98" t="s">
        <v>145</v>
      </c>
      <c r="L19" s="259">
        <v>37096</v>
      </c>
      <c r="M19" s="235"/>
      <c r="N19" s="331" t="s">
        <v>263</v>
      </c>
    </row>
    <row r="20" spans="1:14" s="237" customFormat="1" ht="36">
      <c r="A20" s="155"/>
      <c r="B20" s="393" t="s">
        <v>88</v>
      </c>
      <c r="C20" s="64"/>
      <c r="D20" s="98">
        <v>56</v>
      </c>
      <c r="E20" s="98" t="s">
        <v>262</v>
      </c>
      <c r="F20" s="98" t="s">
        <v>145</v>
      </c>
      <c r="G20" s="259">
        <v>37147</v>
      </c>
      <c r="H20" s="236"/>
      <c r="I20" s="98">
        <v>56</v>
      </c>
      <c r="J20" s="98" t="s">
        <v>262</v>
      </c>
      <c r="K20" s="98" t="s">
        <v>145</v>
      </c>
      <c r="L20" s="259">
        <v>37147</v>
      </c>
      <c r="M20" s="235"/>
      <c r="N20" s="331" t="s">
        <v>263</v>
      </c>
    </row>
    <row r="21" spans="1:14" s="237" customFormat="1" ht="36">
      <c r="A21" s="155"/>
      <c r="B21" s="393" t="s">
        <v>89</v>
      </c>
      <c r="C21" s="64"/>
      <c r="D21" s="98">
        <v>89</v>
      </c>
      <c r="E21" s="98" t="s">
        <v>197</v>
      </c>
      <c r="F21" s="98" t="s">
        <v>145</v>
      </c>
      <c r="G21" s="259">
        <v>37147</v>
      </c>
      <c r="H21" s="236"/>
      <c r="I21" s="98">
        <v>89</v>
      </c>
      <c r="J21" s="98" t="s">
        <v>197</v>
      </c>
      <c r="K21" s="98" t="s">
        <v>145</v>
      </c>
      <c r="L21" s="259">
        <v>37147</v>
      </c>
      <c r="M21" s="235"/>
      <c r="N21" s="331" t="s">
        <v>174</v>
      </c>
    </row>
    <row r="22" spans="1:14" s="237" customFormat="1" ht="12">
      <c r="A22" s="155"/>
      <c r="B22" s="393"/>
      <c r="C22" s="64"/>
      <c r="D22" s="98">
        <v>33</v>
      </c>
      <c r="E22" s="98" t="s">
        <v>262</v>
      </c>
      <c r="F22" s="98"/>
      <c r="G22" s="259"/>
      <c r="H22" s="236"/>
      <c r="I22" s="98">
        <v>33</v>
      </c>
      <c r="J22" s="98" t="s">
        <v>262</v>
      </c>
      <c r="K22" s="98"/>
      <c r="L22" s="259"/>
      <c r="M22" s="235"/>
      <c r="N22" s="331" t="s">
        <v>263</v>
      </c>
    </row>
    <row r="23" spans="1:14" s="237" customFormat="1" ht="36">
      <c r="A23" s="155"/>
      <c r="B23" s="393" t="s">
        <v>89</v>
      </c>
      <c r="C23" s="64"/>
      <c r="D23" s="98">
        <v>75</v>
      </c>
      <c r="E23" s="98" t="s">
        <v>327</v>
      </c>
      <c r="F23" s="98" t="s">
        <v>145</v>
      </c>
      <c r="G23" s="259">
        <v>37236</v>
      </c>
      <c r="H23" s="236"/>
      <c r="I23" s="98">
        <v>75</v>
      </c>
      <c r="J23" s="98" t="s">
        <v>327</v>
      </c>
      <c r="K23" s="98" t="s">
        <v>145</v>
      </c>
      <c r="L23" s="259">
        <v>37236</v>
      </c>
      <c r="M23" s="235"/>
      <c r="N23" s="331"/>
    </row>
    <row r="24" spans="1:14" s="237" customFormat="1" ht="12">
      <c r="A24" s="155"/>
      <c r="B24" s="393"/>
      <c r="C24" s="64"/>
      <c r="D24" s="98">
        <v>391</v>
      </c>
      <c r="E24" s="98" t="s">
        <v>262</v>
      </c>
      <c r="F24" s="98"/>
      <c r="G24" s="259"/>
      <c r="H24" s="236"/>
      <c r="I24" s="98">
        <v>391</v>
      </c>
      <c r="J24" s="98" t="s">
        <v>262</v>
      </c>
      <c r="K24" s="98"/>
      <c r="L24" s="259"/>
      <c r="M24" s="235"/>
      <c r="N24" s="331"/>
    </row>
    <row r="25" spans="1:14" s="237" customFormat="1" ht="12">
      <c r="A25" s="155"/>
      <c r="B25" s="234" t="s">
        <v>286</v>
      </c>
      <c r="C25" s="64"/>
      <c r="D25" s="98">
        <v>2114</v>
      </c>
      <c r="E25" s="98" t="s">
        <v>304</v>
      </c>
      <c r="F25" s="98" t="s">
        <v>145</v>
      </c>
      <c r="G25" s="259">
        <v>37238</v>
      </c>
      <c r="H25" s="236"/>
      <c r="I25" s="98">
        <v>2114</v>
      </c>
      <c r="J25" s="98" t="s">
        <v>304</v>
      </c>
      <c r="K25" s="98" t="s">
        <v>145</v>
      </c>
      <c r="L25" s="259">
        <v>37238</v>
      </c>
      <c r="M25" s="235"/>
      <c r="N25" s="331" t="s">
        <v>320</v>
      </c>
    </row>
    <row r="26" spans="1:14" s="237" customFormat="1" ht="12">
      <c r="A26" s="155"/>
      <c r="B26" s="370" t="s">
        <v>289</v>
      </c>
      <c r="C26" s="64"/>
      <c r="D26" s="98">
        <v>565</v>
      </c>
      <c r="E26" s="98" t="s">
        <v>262</v>
      </c>
      <c r="F26" s="98" t="s">
        <v>145</v>
      </c>
      <c r="G26" s="259">
        <v>37182</v>
      </c>
      <c r="H26" s="236"/>
      <c r="I26" s="98">
        <v>565</v>
      </c>
      <c r="J26" s="98" t="s">
        <v>262</v>
      </c>
      <c r="K26" s="98" t="s">
        <v>145</v>
      </c>
      <c r="L26" s="259">
        <v>37182</v>
      </c>
      <c r="M26" s="235"/>
      <c r="N26" s="383" t="s">
        <v>97</v>
      </c>
    </row>
    <row r="27" spans="1:14" s="237" customFormat="1" ht="12">
      <c r="A27" s="155"/>
      <c r="B27" s="370" t="s">
        <v>21</v>
      </c>
      <c r="C27" s="64"/>
      <c r="D27" s="98">
        <v>750</v>
      </c>
      <c r="E27" s="98" t="s">
        <v>302</v>
      </c>
      <c r="F27" s="98" t="s">
        <v>145</v>
      </c>
      <c r="G27" s="259">
        <v>37244</v>
      </c>
      <c r="H27" s="236"/>
      <c r="I27" s="98">
        <v>750</v>
      </c>
      <c r="J27" s="98" t="s">
        <v>302</v>
      </c>
      <c r="K27" s="98" t="s">
        <v>145</v>
      </c>
      <c r="L27" s="259">
        <v>37244</v>
      </c>
      <c r="M27" s="235"/>
      <c r="N27" s="383"/>
    </row>
    <row r="28" spans="1:14" s="237" customFormat="1" ht="12">
      <c r="A28" s="155"/>
      <c r="B28" s="234" t="s">
        <v>7</v>
      </c>
      <c r="C28" s="64"/>
      <c r="D28" s="98">
        <v>76</v>
      </c>
      <c r="E28" s="98" t="s">
        <v>142</v>
      </c>
      <c r="F28" s="425" t="s">
        <v>145</v>
      </c>
      <c r="G28" s="259">
        <v>37091</v>
      </c>
      <c r="H28" s="421"/>
      <c r="I28" s="98">
        <v>76</v>
      </c>
      <c r="J28" s="98" t="s">
        <v>142</v>
      </c>
      <c r="K28" s="425" t="s">
        <v>145</v>
      </c>
      <c r="L28" s="259">
        <v>37091</v>
      </c>
      <c r="M28" s="235"/>
      <c r="N28" s="383"/>
    </row>
    <row r="29" spans="1:14" s="237" customFormat="1" ht="24">
      <c r="A29" s="155"/>
      <c r="B29" s="234" t="s">
        <v>301</v>
      </c>
      <c r="C29" s="64"/>
      <c r="D29" s="98">
        <v>16</v>
      </c>
      <c r="E29" s="98" t="s">
        <v>155</v>
      </c>
      <c r="F29" s="425" t="s">
        <v>145</v>
      </c>
      <c r="G29" s="259">
        <v>37218</v>
      </c>
      <c r="H29" s="421"/>
      <c r="I29" s="98">
        <v>16</v>
      </c>
      <c r="J29" s="98" t="s">
        <v>155</v>
      </c>
      <c r="K29" s="425" t="s">
        <v>145</v>
      </c>
      <c r="L29" s="259">
        <v>37218</v>
      </c>
      <c r="M29" s="235"/>
      <c r="N29" s="383" t="s">
        <v>174</v>
      </c>
    </row>
    <row r="30" spans="1:14" s="237" customFormat="1" ht="36">
      <c r="A30" s="155"/>
      <c r="B30" s="234" t="s">
        <v>297</v>
      </c>
      <c r="C30" s="64"/>
      <c r="D30" s="98">
        <v>11</v>
      </c>
      <c r="E30" s="98" t="s">
        <v>142</v>
      </c>
      <c r="F30" s="425" t="s">
        <v>145</v>
      </c>
      <c r="G30" s="259">
        <v>37203</v>
      </c>
      <c r="H30" s="421"/>
      <c r="I30" s="98">
        <v>11</v>
      </c>
      <c r="J30" s="98" t="s">
        <v>142</v>
      </c>
      <c r="K30" s="425" t="s">
        <v>145</v>
      </c>
      <c r="L30" s="259">
        <v>37203</v>
      </c>
      <c r="M30" s="235"/>
      <c r="N30" s="383"/>
    </row>
    <row r="31" spans="1:14" s="157" customFormat="1" ht="19.5" customHeight="1">
      <c r="A31" s="333" t="s">
        <v>332</v>
      </c>
      <c r="C31" s="382"/>
      <c r="D31" s="243">
        <f>SUM(D32:D39)</f>
        <v>5506</v>
      </c>
      <c r="E31" s="243"/>
      <c r="F31" s="243"/>
      <c r="G31" s="243"/>
      <c r="H31" s="382"/>
      <c r="I31" s="243">
        <f>SUM(I32:I39)</f>
        <v>5506</v>
      </c>
      <c r="J31" s="243"/>
      <c r="K31" s="243"/>
      <c r="L31" s="243"/>
      <c r="M31" s="156"/>
      <c r="N31" s="306"/>
    </row>
    <row r="32" spans="1:14" s="237" customFormat="1" ht="36">
      <c r="A32" s="155"/>
      <c r="B32" s="370" t="s">
        <v>425</v>
      </c>
      <c r="C32" s="64"/>
      <c r="D32" s="98">
        <v>1050</v>
      </c>
      <c r="E32" s="555" t="s">
        <v>140</v>
      </c>
      <c r="F32" s="556"/>
      <c r="G32" s="557"/>
      <c r="H32" s="236"/>
      <c r="I32" s="98">
        <v>1050</v>
      </c>
      <c r="J32" s="98" t="s">
        <v>155</v>
      </c>
      <c r="K32" s="98" t="s">
        <v>239</v>
      </c>
      <c r="L32" s="259">
        <v>37015</v>
      </c>
      <c r="M32" s="235"/>
      <c r="N32" s="306"/>
    </row>
    <row r="33" spans="1:14" s="20" customFormat="1" ht="24">
      <c r="A33" s="155"/>
      <c r="B33" s="230" t="s">
        <v>164</v>
      </c>
      <c r="C33" s="64"/>
      <c r="D33" s="98"/>
      <c r="E33" s="98"/>
      <c r="F33" s="98"/>
      <c r="G33" s="98"/>
      <c r="H33" s="236"/>
      <c r="I33" s="305"/>
      <c r="J33" s="305"/>
      <c r="K33" s="305"/>
      <c r="L33" s="305"/>
      <c r="M33" s="235"/>
      <c r="N33" s="306"/>
    </row>
    <row r="34" spans="1:14" s="237" customFormat="1" ht="12.75">
      <c r="A34" s="155"/>
      <c r="B34" s="385" t="s">
        <v>162</v>
      </c>
      <c r="C34" s="64"/>
      <c r="D34" s="98">
        <v>1444</v>
      </c>
      <c r="E34" s="555" t="s">
        <v>140</v>
      </c>
      <c r="F34" s="556"/>
      <c r="G34" s="557"/>
      <c r="H34" s="236"/>
      <c r="I34" s="98">
        <v>1444</v>
      </c>
      <c r="J34" s="98" t="s">
        <v>155</v>
      </c>
      <c r="K34" s="98" t="s">
        <v>239</v>
      </c>
      <c r="L34" s="259">
        <v>37015</v>
      </c>
      <c r="M34" s="235"/>
      <c r="N34" s="306"/>
    </row>
    <row r="35" spans="1:14" s="237" customFormat="1" ht="24">
      <c r="A35" s="155"/>
      <c r="B35" s="385" t="s">
        <v>163</v>
      </c>
      <c r="C35" s="64"/>
      <c r="D35" s="98">
        <v>1156</v>
      </c>
      <c r="E35" s="555" t="s">
        <v>140</v>
      </c>
      <c r="F35" s="556"/>
      <c r="G35" s="557"/>
      <c r="H35" s="236"/>
      <c r="I35" s="98">
        <v>1156</v>
      </c>
      <c r="J35" s="98" t="s">
        <v>155</v>
      </c>
      <c r="K35" s="98" t="s">
        <v>239</v>
      </c>
      <c r="L35" s="259">
        <v>37015</v>
      </c>
      <c r="M35" s="235"/>
      <c r="N35" s="306"/>
    </row>
    <row r="36" spans="1:14" s="20" customFormat="1" ht="24">
      <c r="A36" s="155"/>
      <c r="B36" s="370" t="s">
        <v>119</v>
      </c>
      <c r="C36" s="64"/>
      <c r="D36" s="98">
        <v>758</v>
      </c>
      <c r="E36" s="98" t="s">
        <v>147</v>
      </c>
      <c r="F36" s="98" t="s">
        <v>145</v>
      </c>
      <c r="G36" s="259">
        <v>37039</v>
      </c>
      <c r="H36" s="236"/>
      <c r="I36" s="98">
        <v>758</v>
      </c>
      <c r="J36" s="98" t="s">
        <v>147</v>
      </c>
      <c r="K36" s="98" t="s">
        <v>145</v>
      </c>
      <c r="L36" s="259">
        <v>37039</v>
      </c>
      <c r="M36" s="235"/>
      <c r="N36" s="306" t="s">
        <v>423</v>
      </c>
    </row>
    <row r="37" spans="1:14" s="237" customFormat="1" ht="24.75" customHeight="1">
      <c r="A37" s="155"/>
      <c r="B37" s="370" t="s">
        <v>279</v>
      </c>
      <c r="C37" s="64"/>
      <c r="D37" s="98">
        <v>49</v>
      </c>
      <c r="E37" s="98" t="s">
        <v>153</v>
      </c>
      <c r="F37" s="98" t="s">
        <v>145</v>
      </c>
      <c r="G37" s="259">
        <v>36999</v>
      </c>
      <c r="H37" s="236"/>
      <c r="I37" s="98">
        <v>49</v>
      </c>
      <c r="J37" s="98" t="s">
        <v>153</v>
      </c>
      <c r="K37" s="98" t="s">
        <v>145</v>
      </c>
      <c r="L37" s="259">
        <v>36999</v>
      </c>
      <c r="M37" s="235"/>
      <c r="N37" s="306" t="s">
        <v>199</v>
      </c>
    </row>
    <row r="38" spans="1:14" s="237" customFormat="1" ht="24.75" customHeight="1">
      <c r="A38" s="155"/>
      <c r="B38" s="370" t="s">
        <v>279</v>
      </c>
      <c r="C38" s="64"/>
      <c r="D38" s="98">
        <v>49</v>
      </c>
      <c r="E38" s="98" t="s">
        <v>153</v>
      </c>
      <c r="F38" s="98" t="s">
        <v>145</v>
      </c>
      <c r="G38" s="259">
        <v>37167</v>
      </c>
      <c r="H38" s="236"/>
      <c r="I38" s="98">
        <v>49</v>
      </c>
      <c r="J38" s="98" t="s">
        <v>153</v>
      </c>
      <c r="K38" s="98" t="s">
        <v>145</v>
      </c>
      <c r="L38" s="259">
        <v>37167</v>
      </c>
      <c r="M38" s="235"/>
      <c r="N38" s="306" t="s">
        <v>199</v>
      </c>
    </row>
    <row r="39" spans="1:14" s="237" customFormat="1" ht="24">
      <c r="A39" s="155"/>
      <c r="B39" s="370" t="s">
        <v>278</v>
      </c>
      <c r="C39" s="64"/>
      <c r="D39" s="98">
        <v>1000</v>
      </c>
      <c r="E39" s="98" t="s">
        <v>155</v>
      </c>
      <c r="F39" s="98" t="s">
        <v>145</v>
      </c>
      <c r="G39" s="259">
        <v>37082</v>
      </c>
      <c r="H39" s="236"/>
      <c r="I39" s="98">
        <v>1000</v>
      </c>
      <c r="J39" s="98" t="s">
        <v>155</v>
      </c>
      <c r="K39" s="98" t="s">
        <v>335</v>
      </c>
      <c r="L39" s="259">
        <v>37235</v>
      </c>
      <c r="M39" s="235"/>
      <c r="N39" s="306"/>
    </row>
    <row r="40" spans="1:14" s="20" customFormat="1" ht="21" customHeight="1">
      <c r="A40" s="333" t="s">
        <v>383</v>
      </c>
      <c r="B40" s="386"/>
      <c r="C40" s="64"/>
      <c r="D40" s="243">
        <f>SUM(D41:D41)</f>
        <v>128</v>
      </c>
      <c r="E40" s="243"/>
      <c r="F40" s="243"/>
      <c r="G40" s="243"/>
      <c r="H40" s="153"/>
      <c r="I40" s="243">
        <f>SUM(I41:I41)</f>
        <v>128</v>
      </c>
      <c r="J40" s="243"/>
      <c r="K40" s="243"/>
      <c r="L40" s="243"/>
      <c r="M40" s="156"/>
      <c r="N40" s="358"/>
    </row>
    <row r="41" spans="1:14" s="20" customFormat="1" ht="24">
      <c r="A41" s="155"/>
      <c r="B41" s="234" t="s">
        <v>296</v>
      </c>
      <c r="C41" s="64"/>
      <c r="D41" s="98">
        <v>128</v>
      </c>
      <c r="E41" s="98" t="s">
        <v>147</v>
      </c>
      <c r="F41" s="98" t="s">
        <v>145</v>
      </c>
      <c r="G41" s="259">
        <v>37210</v>
      </c>
      <c r="H41" s="236"/>
      <c r="I41" s="98">
        <v>128</v>
      </c>
      <c r="J41" s="98" t="s">
        <v>147</v>
      </c>
      <c r="K41" s="98" t="s">
        <v>145</v>
      </c>
      <c r="L41" s="259">
        <v>37210</v>
      </c>
      <c r="M41" s="235"/>
      <c r="N41" s="306"/>
    </row>
    <row r="42" spans="1:14" s="42" customFormat="1" ht="21.75" customHeight="1">
      <c r="A42" s="155" t="s">
        <v>384</v>
      </c>
      <c r="B42" s="157"/>
      <c r="C42" s="382"/>
      <c r="D42" s="243">
        <f>SUM(D43:D45)</f>
        <v>536</v>
      </c>
      <c r="E42" s="243"/>
      <c r="F42" s="243"/>
      <c r="G42" s="243"/>
      <c r="H42" s="382"/>
      <c r="I42" s="243">
        <f>SUM(I43:I45)</f>
        <v>536</v>
      </c>
      <c r="J42" s="243"/>
      <c r="K42" s="243"/>
      <c r="L42" s="243"/>
      <c r="M42" s="156"/>
      <c r="N42" s="306"/>
    </row>
    <row r="43" spans="1:14" s="238" customFormat="1" ht="45">
      <c r="A43" s="155"/>
      <c r="B43" s="230" t="s">
        <v>81</v>
      </c>
      <c r="C43" s="64"/>
      <c r="D43" s="98">
        <v>245</v>
      </c>
      <c r="E43" s="98" t="s">
        <v>338</v>
      </c>
      <c r="F43" s="98" t="s">
        <v>145</v>
      </c>
      <c r="G43" s="259">
        <v>37090</v>
      </c>
      <c r="H43" s="236"/>
      <c r="I43" s="98">
        <v>245</v>
      </c>
      <c r="J43" s="98" t="s">
        <v>338</v>
      </c>
      <c r="K43" s="98" t="s">
        <v>145</v>
      </c>
      <c r="L43" s="259">
        <v>37090</v>
      </c>
      <c r="M43" s="235"/>
      <c r="N43" s="378" t="s">
        <v>314</v>
      </c>
    </row>
    <row r="44" spans="1:14" s="238" customFormat="1" ht="12">
      <c r="A44" s="155"/>
      <c r="B44" s="230"/>
      <c r="C44" s="78"/>
      <c r="D44" s="98">
        <v>245</v>
      </c>
      <c r="E44" s="98" t="s">
        <v>303</v>
      </c>
      <c r="F44" s="98"/>
      <c r="G44" s="98"/>
      <c r="H44" s="236"/>
      <c r="I44" s="98">
        <v>245</v>
      </c>
      <c r="J44" s="98" t="s">
        <v>303</v>
      </c>
      <c r="K44" s="98"/>
      <c r="L44" s="98"/>
      <c r="M44" s="235"/>
      <c r="N44" s="378"/>
    </row>
    <row r="45" spans="1:14" s="48" customFormat="1" ht="12">
      <c r="A45" s="155"/>
      <c r="B45" s="234" t="s">
        <v>204</v>
      </c>
      <c r="C45" s="78"/>
      <c r="D45" s="98">
        <v>46</v>
      </c>
      <c r="E45" s="98" t="s">
        <v>147</v>
      </c>
      <c r="F45" s="98" t="s">
        <v>145</v>
      </c>
      <c r="G45" s="259">
        <v>36944</v>
      </c>
      <c r="H45" s="236"/>
      <c r="I45" s="98">
        <v>46</v>
      </c>
      <c r="J45" s="98" t="s">
        <v>147</v>
      </c>
      <c r="K45" s="98" t="s">
        <v>145</v>
      </c>
      <c r="L45" s="259">
        <v>36944</v>
      </c>
      <c r="M45" s="235"/>
      <c r="N45" s="378"/>
    </row>
    <row r="46" spans="1:14" s="157" customFormat="1" ht="24.75" customHeight="1">
      <c r="A46" s="155" t="s">
        <v>385</v>
      </c>
      <c r="C46" s="64"/>
      <c r="D46" s="243">
        <f>SUM(D47:D48)</f>
        <v>150</v>
      </c>
      <c r="E46" s="243"/>
      <c r="F46" s="243"/>
      <c r="G46" s="243"/>
      <c r="H46" s="382"/>
      <c r="I46" s="243">
        <f>SUM(I47:I48)</f>
        <v>150</v>
      </c>
      <c r="J46" s="243"/>
      <c r="K46" s="243"/>
      <c r="L46" s="243"/>
      <c r="M46" s="156"/>
      <c r="N46" s="306"/>
    </row>
    <row r="47" spans="1:14" s="237" customFormat="1" ht="12">
      <c r="A47" s="155"/>
      <c r="B47" s="370" t="s">
        <v>0</v>
      </c>
      <c r="C47" s="64"/>
      <c r="D47" s="98"/>
      <c r="E47" s="98"/>
      <c r="F47" s="98"/>
      <c r="G47" s="98"/>
      <c r="H47" s="236"/>
      <c r="I47" s="98"/>
      <c r="J47" s="98"/>
      <c r="K47" s="98"/>
      <c r="L47" s="98"/>
      <c r="M47" s="235"/>
      <c r="N47" s="378"/>
    </row>
    <row r="48" spans="1:14" s="237" customFormat="1" ht="36">
      <c r="A48" s="155"/>
      <c r="B48" s="420" t="s">
        <v>299</v>
      </c>
      <c r="C48" s="64"/>
      <c r="D48" s="98">
        <v>150</v>
      </c>
      <c r="E48" s="329" t="s">
        <v>300</v>
      </c>
      <c r="F48" s="98" t="s">
        <v>145</v>
      </c>
      <c r="G48" s="259">
        <v>37229</v>
      </c>
      <c r="H48" s="236"/>
      <c r="I48" s="98">
        <v>150</v>
      </c>
      <c r="J48" s="329" t="s">
        <v>300</v>
      </c>
      <c r="K48" s="98" t="s">
        <v>145</v>
      </c>
      <c r="L48" s="259">
        <v>37229</v>
      </c>
      <c r="M48" s="235"/>
      <c r="N48" s="378" t="s">
        <v>298</v>
      </c>
    </row>
    <row r="49" spans="1:14" s="237" customFormat="1" ht="12">
      <c r="A49" s="155"/>
      <c r="B49" s="420"/>
      <c r="C49" s="64"/>
      <c r="D49" s="98"/>
      <c r="E49" s="329"/>
      <c r="F49" s="98"/>
      <c r="G49" s="259"/>
      <c r="H49" s="236"/>
      <c r="I49" s="98"/>
      <c r="J49" s="329"/>
      <c r="K49" s="98"/>
      <c r="L49" s="259"/>
      <c r="M49" s="235"/>
      <c r="N49" s="378"/>
    </row>
    <row r="50" spans="1:14" s="14" customFormat="1" ht="24" customHeight="1">
      <c r="A50" s="273"/>
      <c r="B50" s="294" t="s">
        <v>206</v>
      </c>
      <c r="C50" s="275"/>
      <c r="D50" s="274">
        <f>D7+D10+D13+D31+D40+D42+D46</f>
        <v>26943</v>
      </c>
      <c r="E50" s="274"/>
      <c r="F50" s="274"/>
      <c r="G50" s="274"/>
      <c r="H50" s="276"/>
      <c r="I50" s="274">
        <f>I7+I10+I13+I31+I40+I42+I46</f>
        <v>26943</v>
      </c>
      <c r="J50" s="274"/>
      <c r="K50" s="274"/>
      <c r="L50" s="274"/>
      <c r="M50" s="93"/>
      <c r="N50" s="84"/>
    </row>
    <row r="51" spans="1:14" s="48" customFormat="1" ht="12.75" customHeight="1">
      <c r="A51" s="200"/>
      <c r="B51" s="154"/>
      <c r="C51" s="402"/>
      <c r="D51" s="140"/>
      <c r="E51" s="45"/>
      <c r="F51" s="45"/>
      <c r="G51" s="45"/>
      <c r="H51" s="44"/>
      <c r="I51" s="140"/>
      <c r="J51" s="45"/>
      <c r="K51" s="45"/>
      <c r="L51" s="45"/>
      <c r="M51" s="44"/>
      <c r="N51" s="45"/>
    </row>
    <row r="52" spans="2:14" s="48" customFormat="1" ht="12">
      <c r="B52" s="47"/>
      <c r="C52" s="139"/>
      <c r="D52" s="140"/>
      <c r="E52" s="45"/>
      <c r="F52" s="45"/>
      <c r="G52" s="45"/>
      <c r="H52" s="44"/>
      <c r="I52" s="140"/>
      <c r="J52" s="45"/>
      <c r="K52" s="45"/>
      <c r="L52" s="45"/>
      <c r="M52" s="44"/>
      <c r="N52" s="45"/>
    </row>
    <row r="53" spans="2:14" s="48" customFormat="1" ht="12">
      <c r="B53" s="47"/>
      <c r="C53" s="139"/>
      <c r="D53" s="140"/>
      <c r="E53" s="45"/>
      <c r="F53" s="45"/>
      <c r="G53" s="45"/>
      <c r="H53" s="44"/>
      <c r="I53" s="140"/>
      <c r="J53" s="45"/>
      <c r="K53" s="45"/>
      <c r="L53" s="45"/>
      <c r="M53" s="44"/>
      <c r="N53" s="45"/>
    </row>
    <row r="54" spans="2:14" s="48" customFormat="1" ht="12">
      <c r="B54" s="47"/>
      <c r="C54" s="139"/>
      <c r="D54" s="140"/>
      <c r="E54" s="45"/>
      <c r="F54" s="45"/>
      <c r="G54" s="45"/>
      <c r="H54" s="44"/>
      <c r="I54" s="140"/>
      <c r="J54" s="45"/>
      <c r="K54" s="45"/>
      <c r="L54" s="45"/>
      <c r="M54" s="44"/>
      <c r="N54" s="45"/>
    </row>
    <row r="55" spans="2:14" s="48" customFormat="1" ht="12">
      <c r="B55" s="47"/>
      <c r="C55" s="139"/>
      <c r="D55" s="140"/>
      <c r="E55" s="45"/>
      <c r="F55" s="45"/>
      <c r="G55" s="45"/>
      <c r="H55" s="44"/>
      <c r="I55" s="140"/>
      <c r="J55" s="45"/>
      <c r="K55" s="45"/>
      <c r="L55" s="45"/>
      <c r="M55" s="44"/>
      <c r="N55" s="45"/>
    </row>
    <row r="56" spans="2:14" s="48" customFormat="1" ht="12">
      <c r="B56" s="47"/>
      <c r="C56" s="139"/>
      <c r="D56" s="140"/>
      <c r="E56" s="45"/>
      <c r="F56" s="45"/>
      <c r="G56" s="45"/>
      <c r="H56" s="44"/>
      <c r="I56" s="140"/>
      <c r="J56" s="45"/>
      <c r="K56" s="45"/>
      <c r="L56" s="45"/>
      <c r="M56" s="44"/>
      <c r="N56" s="45"/>
    </row>
    <row r="57" spans="2:14" s="48" customFormat="1" ht="12">
      <c r="B57" s="47"/>
      <c r="C57" s="139"/>
      <c r="D57" s="140"/>
      <c r="E57" s="45"/>
      <c r="F57" s="45"/>
      <c r="G57" s="45"/>
      <c r="H57" s="44"/>
      <c r="I57" s="140"/>
      <c r="J57" s="45"/>
      <c r="K57" s="45"/>
      <c r="L57" s="45"/>
      <c r="M57" s="44"/>
      <c r="N57" s="45"/>
    </row>
    <row r="58" spans="2:14" s="48" customFormat="1" ht="12">
      <c r="B58" s="47"/>
      <c r="C58" s="139"/>
      <c r="D58" s="140"/>
      <c r="E58" s="45"/>
      <c r="F58" s="45"/>
      <c r="G58" s="45"/>
      <c r="H58" s="44"/>
      <c r="I58" s="140"/>
      <c r="J58" s="45"/>
      <c r="K58" s="45"/>
      <c r="L58" s="45"/>
      <c r="M58" s="44"/>
      <c r="N58" s="45"/>
    </row>
    <row r="59" spans="2:14" s="48" customFormat="1" ht="12">
      <c r="B59" s="47"/>
      <c r="C59" s="139"/>
      <c r="D59" s="140"/>
      <c r="E59" s="45"/>
      <c r="F59" s="45"/>
      <c r="G59" s="45"/>
      <c r="H59" s="44"/>
      <c r="I59" s="140"/>
      <c r="J59" s="45"/>
      <c r="K59" s="45"/>
      <c r="L59" s="45"/>
      <c r="M59" s="44"/>
      <c r="N59" s="45"/>
    </row>
    <row r="60" spans="2:14" s="48" customFormat="1" ht="12">
      <c r="B60" s="47"/>
      <c r="C60" s="139"/>
      <c r="D60" s="140"/>
      <c r="E60" s="45"/>
      <c r="F60" s="45"/>
      <c r="G60" s="45"/>
      <c r="H60" s="44"/>
      <c r="I60" s="140"/>
      <c r="J60" s="45"/>
      <c r="K60" s="45"/>
      <c r="L60" s="45"/>
      <c r="M60" s="44"/>
      <c r="N60" s="45"/>
    </row>
    <row r="61" spans="2:14" s="48" customFormat="1" ht="12">
      <c r="B61" s="47"/>
      <c r="C61" s="139"/>
      <c r="D61" s="140"/>
      <c r="E61" s="45"/>
      <c r="F61" s="45"/>
      <c r="G61" s="45"/>
      <c r="H61" s="44"/>
      <c r="I61" s="140"/>
      <c r="J61" s="45"/>
      <c r="K61" s="45"/>
      <c r="L61" s="45"/>
      <c r="M61" s="44"/>
      <c r="N61" s="45"/>
    </row>
    <row r="62" spans="2:14" s="48" customFormat="1" ht="12">
      <c r="B62" s="47"/>
      <c r="C62" s="139"/>
      <c r="D62" s="140"/>
      <c r="E62" s="45"/>
      <c r="F62" s="45"/>
      <c r="G62" s="45"/>
      <c r="H62" s="44"/>
      <c r="I62" s="140"/>
      <c r="J62" s="45"/>
      <c r="K62" s="45"/>
      <c r="L62" s="45"/>
      <c r="M62" s="44"/>
      <c r="N62" s="45"/>
    </row>
    <row r="63" spans="2:14" s="48" customFormat="1" ht="12">
      <c r="B63" s="47"/>
      <c r="C63" s="139"/>
      <c r="D63" s="140"/>
      <c r="E63" s="45"/>
      <c r="F63" s="45"/>
      <c r="G63" s="45"/>
      <c r="H63" s="44"/>
      <c r="I63" s="140"/>
      <c r="J63" s="45"/>
      <c r="K63" s="45"/>
      <c r="L63" s="45"/>
      <c r="M63" s="44"/>
      <c r="N63" s="45"/>
    </row>
    <row r="64" spans="2:14" s="48" customFormat="1" ht="12">
      <c r="B64" s="47"/>
      <c r="C64" s="139"/>
      <c r="D64" s="140"/>
      <c r="E64" s="45"/>
      <c r="F64" s="45"/>
      <c r="G64" s="45"/>
      <c r="H64" s="44"/>
      <c r="I64" s="140"/>
      <c r="J64" s="45"/>
      <c r="K64" s="45"/>
      <c r="L64" s="45"/>
      <c r="M64" s="44"/>
      <c r="N64" s="45"/>
    </row>
    <row r="65" spans="2:14" s="48" customFormat="1" ht="12">
      <c r="B65" s="47"/>
      <c r="C65" s="139"/>
      <c r="D65" s="140"/>
      <c r="E65" s="45"/>
      <c r="F65" s="45"/>
      <c r="G65" s="45"/>
      <c r="H65" s="44"/>
      <c r="I65" s="140"/>
      <c r="J65" s="45"/>
      <c r="K65" s="45"/>
      <c r="L65" s="45"/>
      <c r="M65" s="44"/>
      <c r="N65" s="45"/>
    </row>
    <row r="66" spans="2:14" s="48" customFormat="1" ht="12">
      <c r="B66" s="47"/>
      <c r="C66" s="139"/>
      <c r="D66" s="140"/>
      <c r="E66" s="45"/>
      <c r="F66" s="45"/>
      <c r="G66" s="45"/>
      <c r="H66" s="44"/>
      <c r="I66" s="140"/>
      <c r="J66" s="45"/>
      <c r="K66" s="45"/>
      <c r="L66" s="45"/>
      <c r="M66" s="44"/>
      <c r="N66" s="45"/>
    </row>
    <row r="67" spans="2:14" s="48" customFormat="1" ht="12">
      <c r="B67" s="47"/>
      <c r="C67" s="139"/>
      <c r="D67" s="140"/>
      <c r="E67" s="45"/>
      <c r="F67" s="45"/>
      <c r="G67" s="45"/>
      <c r="H67" s="44"/>
      <c r="I67" s="140"/>
      <c r="J67" s="45"/>
      <c r="K67" s="45"/>
      <c r="L67" s="45"/>
      <c r="M67" s="44"/>
      <c r="N67" s="45"/>
    </row>
    <row r="68" spans="2:14" s="48" customFormat="1" ht="12">
      <c r="B68" s="47"/>
      <c r="C68" s="139"/>
      <c r="D68" s="140"/>
      <c r="E68" s="45"/>
      <c r="F68" s="45"/>
      <c r="G68" s="45"/>
      <c r="H68" s="44"/>
      <c r="I68" s="140"/>
      <c r="J68" s="45"/>
      <c r="K68" s="45"/>
      <c r="L68" s="45"/>
      <c r="M68" s="44"/>
      <c r="N68" s="45"/>
    </row>
    <row r="69" spans="2:14" s="48" customFormat="1" ht="12">
      <c r="B69" s="47"/>
      <c r="C69" s="139"/>
      <c r="D69" s="140"/>
      <c r="E69" s="45"/>
      <c r="F69" s="45"/>
      <c r="G69" s="45"/>
      <c r="H69" s="44"/>
      <c r="I69" s="140"/>
      <c r="J69" s="45"/>
      <c r="K69" s="45"/>
      <c r="L69" s="45"/>
      <c r="M69" s="44"/>
      <c r="N69" s="45"/>
    </row>
    <row r="70" spans="2:14" s="48" customFormat="1" ht="12">
      <c r="B70" s="47"/>
      <c r="C70" s="139"/>
      <c r="D70" s="140"/>
      <c r="E70" s="45"/>
      <c r="F70" s="45"/>
      <c r="G70" s="45"/>
      <c r="H70" s="44"/>
      <c r="I70" s="140"/>
      <c r="J70" s="45"/>
      <c r="K70" s="45"/>
      <c r="L70" s="45"/>
      <c r="M70" s="44"/>
      <c r="N70" s="45"/>
    </row>
    <row r="71" spans="2:14" s="48" customFormat="1" ht="12">
      <c r="B71" s="47"/>
      <c r="C71" s="139"/>
      <c r="D71" s="140"/>
      <c r="E71" s="45"/>
      <c r="F71" s="45"/>
      <c r="G71" s="45"/>
      <c r="H71" s="44"/>
      <c r="I71" s="140"/>
      <c r="J71" s="45"/>
      <c r="K71" s="45"/>
      <c r="L71" s="45"/>
      <c r="M71" s="44"/>
      <c r="N71" s="45"/>
    </row>
    <row r="72" spans="2:14" s="48" customFormat="1" ht="12">
      <c r="B72" s="47"/>
      <c r="C72" s="139"/>
      <c r="D72" s="140"/>
      <c r="E72" s="45"/>
      <c r="F72" s="45"/>
      <c r="G72" s="45"/>
      <c r="H72" s="44"/>
      <c r="I72" s="140"/>
      <c r="J72" s="45"/>
      <c r="K72" s="45"/>
      <c r="L72" s="45"/>
      <c r="M72" s="44"/>
      <c r="N72" s="45"/>
    </row>
    <row r="73" spans="2:14" s="48" customFormat="1" ht="12">
      <c r="B73" s="47"/>
      <c r="C73" s="139"/>
      <c r="D73" s="140"/>
      <c r="E73" s="45"/>
      <c r="F73" s="45"/>
      <c r="G73" s="45"/>
      <c r="H73" s="44"/>
      <c r="I73" s="140"/>
      <c r="J73" s="45"/>
      <c r="K73" s="45"/>
      <c r="L73" s="45"/>
      <c r="M73" s="44"/>
      <c r="N73" s="45"/>
    </row>
    <row r="74" spans="2:14" s="48" customFormat="1" ht="12">
      <c r="B74" s="47"/>
      <c r="C74" s="139"/>
      <c r="D74" s="140"/>
      <c r="E74" s="45"/>
      <c r="F74" s="45"/>
      <c r="G74" s="45"/>
      <c r="H74" s="44"/>
      <c r="I74" s="140"/>
      <c r="J74" s="45"/>
      <c r="K74" s="45"/>
      <c r="L74" s="45"/>
      <c r="M74" s="44"/>
      <c r="N74" s="45"/>
    </row>
    <row r="75" spans="2:14" s="48" customFormat="1" ht="12">
      <c r="B75" s="47"/>
      <c r="C75" s="139"/>
      <c r="D75" s="140"/>
      <c r="E75" s="45"/>
      <c r="F75" s="45"/>
      <c r="G75" s="45"/>
      <c r="H75" s="44"/>
      <c r="I75" s="140"/>
      <c r="J75" s="45"/>
      <c r="K75" s="45"/>
      <c r="L75" s="45"/>
      <c r="M75" s="44"/>
      <c r="N75" s="45"/>
    </row>
    <row r="76" spans="2:14" s="48" customFormat="1" ht="12">
      <c r="B76" s="47"/>
      <c r="C76" s="139"/>
      <c r="D76" s="140"/>
      <c r="E76" s="45"/>
      <c r="F76" s="45"/>
      <c r="G76" s="45"/>
      <c r="H76" s="44"/>
      <c r="I76" s="140"/>
      <c r="J76" s="45"/>
      <c r="K76" s="45"/>
      <c r="L76" s="45"/>
      <c r="M76" s="44"/>
      <c r="N76" s="45"/>
    </row>
    <row r="77" spans="2:14" s="48" customFormat="1" ht="12">
      <c r="B77" s="47"/>
      <c r="C77" s="139"/>
      <c r="D77" s="140"/>
      <c r="E77" s="45"/>
      <c r="F77" s="45"/>
      <c r="G77" s="45"/>
      <c r="H77" s="44"/>
      <c r="I77" s="140"/>
      <c r="J77" s="45"/>
      <c r="K77" s="45"/>
      <c r="L77" s="45"/>
      <c r="M77" s="44"/>
      <c r="N77" s="45"/>
    </row>
    <row r="78" spans="2:14" s="48" customFormat="1" ht="12">
      <c r="B78" s="47"/>
      <c r="C78" s="139"/>
      <c r="D78" s="140"/>
      <c r="E78" s="45"/>
      <c r="F78" s="45"/>
      <c r="G78" s="45"/>
      <c r="H78" s="44"/>
      <c r="I78" s="140"/>
      <c r="J78" s="45"/>
      <c r="K78" s="45"/>
      <c r="L78" s="45"/>
      <c r="M78" s="44"/>
      <c r="N78" s="45"/>
    </row>
    <row r="79" spans="2:14" s="48" customFormat="1" ht="12">
      <c r="B79" s="47"/>
      <c r="C79" s="139"/>
      <c r="D79" s="140"/>
      <c r="E79" s="45"/>
      <c r="F79" s="45"/>
      <c r="G79" s="45"/>
      <c r="H79" s="44"/>
      <c r="I79" s="140"/>
      <c r="J79" s="45"/>
      <c r="K79" s="45"/>
      <c r="L79" s="45"/>
      <c r="M79" s="44"/>
      <c r="N79" s="45"/>
    </row>
    <row r="80" spans="2:14" s="48" customFormat="1" ht="12">
      <c r="B80" s="47"/>
      <c r="C80" s="139"/>
      <c r="D80" s="140"/>
      <c r="E80" s="45"/>
      <c r="F80" s="45"/>
      <c r="G80" s="45"/>
      <c r="H80" s="44"/>
      <c r="I80" s="140"/>
      <c r="J80" s="45"/>
      <c r="K80" s="45"/>
      <c r="L80" s="45"/>
      <c r="M80" s="44"/>
      <c r="N80" s="45"/>
    </row>
    <row r="81" spans="2:14" s="48" customFormat="1" ht="12">
      <c r="B81" s="47"/>
      <c r="C81" s="139"/>
      <c r="D81" s="140"/>
      <c r="E81" s="45"/>
      <c r="F81" s="45"/>
      <c r="G81" s="45"/>
      <c r="H81" s="44"/>
      <c r="I81" s="140"/>
      <c r="J81" s="45"/>
      <c r="K81" s="45"/>
      <c r="L81" s="45"/>
      <c r="M81" s="44"/>
      <c r="N81" s="45"/>
    </row>
    <row r="82" spans="2:14" s="48" customFormat="1" ht="12">
      <c r="B82" s="47"/>
      <c r="C82" s="139"/>
      <c r="D82" s="140"/>
      <c r="E82" s="45"/>
      <c r="F82" s="45"/>
      <c r="G82" s="45"/>
      <c r="H82" s="44"/>
      <c r="I82" s="140"/>
      <c r="J82" s="45"/>
      <c r="K82" s="45"/>
      <c r="L82" s="45"/>
      <c r="M82" s="44"/>
      <c r="N82" s="45"/>
    </row>
    <row r="83" spans="2:14" s="48" customFormat="1" ht="12">
      <c r="B83" s="47"/>
      <c r="C83" s="139"/>
      <c r="D83" s="140"/>
      <c r="E83" s="45"/>
      <c r="F83" s="45"/>
      <c r="G83" s="45"/>
      <c r="H83" s="44"/>
      <c r="I83" s="140"/>
      <c r="J83" s="45"/>
      <c r="K83" s="45"/>
      <c r="L83" s="45"/>
      <c r="M83" s="44"/>
      <c r="N83" s="45"/>
    </row>
    <row r="84" spans="2:14" s="48" customFormat="1" ht="12">
      <c r="B84" s="47"/>
      <c r="C84" s="139"/>
      <c r="D84" s="140"/>
      <c r="E84" s="45"/>
      <c r="F84" s="45"/>
      <c r="G84" s="45"/>
      <c r="H84" s="44"/>
      <c r="I84" s="140"/>
      <c r="J84" s="45"/>
      <c r="K84" s="45"/>
      <c r="L84" s="45"/>
      <c r="M84" s="44"/>
      <c r="N84" s="45"/>
    </row>
    <row r="85" spans="2:14" s="48" customFormat="1" ht="12">
      <c r="B85" s="47"/>
      <c r="C85" s="139"/>
      <c r="D85" s="140"/>
      <c r="E85" s="45"/>
      <c r="F85" s="45"/>
      <c r="G85" s="45"/>
      <c r="H85" s="44"/>
      <c r="I85" s="140"/>
      <c r="J85" s="45"/>
      <c r="K85" s="45"/>
      <c r="L85" s="45"/>
      <c r="M85" s="44"/>
      <c r="N85" s="45"/>
    </row>
    <row r="86" spans="2:14" s="48" customFormat="1" ht="12">
      <c r="B86" s="47"/>
      <c r="C86" s="139"/>
      <c r="D86" s="140"/>
      <c r="E86" s="45"/>
      <c r="F86" s="45"/>
      <c r="G86" s="45"/>
      <c r="H86" s="44"/>
      <c r="I86" s="140"/>
      <c r="J86" s="45"/>
      <c r="K86" s="45"/>
      <c r="L86" s="45"/>
      <c r="M86" s="44"/>
      <c r="N86" s="45"/>
    </row>
    <row r="87" spans="2:14" s="48" customFormat="1" ht="12">
      <c r="B87" s="47"/>
      <c r="C87" s="139"/>
      <c r="D87" s="140"/>
      <c r="E87" s="45"/>
      <c r="F87" s="45"/>
      <c r="G87" s="45"/>
      <c r="H87" s="44"/>
      <c r="I87" s="140"/>
      <c r="J87" s="45"/>
      <c r="K87" s="45"/>
      <c r="L87" s="45"/>
      <c r="M87" s="44"/>
      <c r="N87" s="45"/>
    </row>
    <row r="88" spans="2:14" s="48" customFormat="1" ht="12">
      <c r="B88" s="47"/>
      <c r="C88" s="139"/>
      <c r="D88" s="140"/>
      <c r="E88" s="45"/>
      <c r="F88" s="45"/>
      <c r="G88" s="45"/>
      <c r="H88" s="44"/>
      <c r="I88" s="140"/>
      <c r="J88" s="45"/>
      <c r="K88" s="45"/>
      <c r="L88" s="45"/>
      <c r="M88" s="44"/>
      <c r="N88" s="45"/>
    </row>
    <row r="89" spans="2:14" s="48" customFormat="1" ht="12">
      <c r="B89" s="47"/>
      <c r="C89" s="139"/>
      <c r="D89" s="140"/>
      <c r="E89" s="45"/>
      <c r="F89" s="45"/>
      <c r="G89" s="45"/>
      <c r="H89" s="44"/>
      <c r="I89" s="140"/>
      <c r="J89" s="45"/>
      <c r="K89" s="45"/>
      <c r="L89" s="45"/>
      <c r="M89" s="44"/>
      <c r="N89" s="45"/>
    </row>
    <row r="90" spans="2:14" s="48" customFormat="1" ht="12">
      <c r="B90" s="47"/>
      <c r="C90" s="139"/>
      <c r="D90" s="140"/>
      <c r="E90" s="45"/>
      <c r="F90" s="45"/>
      <c r="G90" s="45"/>
      <c r="H90" s="44"/>
      <c r="I90" s="140"/>
      <c r="J90" s="45"/>
      <c r="K90" s="45"/>
      <c r="L90" s="45"/>
      <c r="M90" s="44"/>
      <c r="N90" s="45"/>
    </row>
    <row r="91" spans="2:14" s="48" customFormat="1" ht="12">
      <c r="B91" s="47"/>
      <c r="C91" s="139"/>
      <c r="D91" s="140"/>
      <c r="E91" s="45"/>
      <c r="F91" s="45"/>
      <c r="G91" s="45"/>
      <c r="H91" s="44"/>
      <c r="I91" s="140"/>
      <c r="J91" s="45"/>
      <c r="K91" s="45"/>
      <c r="L91" s="45"/>
      <c r="M91" s="44"/>
      <c r="N91" s="45"/>
    </row>
    <row r="92" spans="2:14" s="48" customFormat="1" ht="12">
      <c r="B92" s="47"/>
      <c r="C92" s="139"/>
      <c r="D92" s="140"/>
      <c r="E92" s="45"/>
      <c r="F92" s="45"/>
      <c r="G92" s="45"/>
      <c r="H92" s="44"/>
      <c r="I92" s="140"/>
      <c r="J92" s="45"/>
      <c r="K92" s="45"/>
      <c r="L92" s="45"/>
      <c r="M92" s="44"/>
      <c r="N92" s="45"/>
    </row>
    <row r="93" spans="2:14" s="48" customFormat="1" ht="12">
      <c r="B93" s="47"/>
      <c r="C93" s="139"/>
      <c r="D93" s="140"/>
      <c r="E93" s="45"/>
      <c r="F93" s="45"/>
      <c r="G93" s="45"/>
      <c r="H93" s="44"/>
      <c r="I93" s="140"/>
      <c r="J93" s="45"/>
      <c r="K93" s="45"/>
      <c r="L93" s="45"/>
      <c r="M93" s="44"/>
      <c r="N93" s="45"/>
    </row>
    <row r="94" spans="2:14" s="48" customFormat="1" ht="12">
      <c r="B94" s="47"/>
      <c r="C94" s="139"/>
      <c r="D94" s="140"/>
      <c r="E94" s="45"/>
      <c r="F94" s="45"/>
      <c r="G94" s="45"/>
      <c r="H94" s="44"/>
      <c r="I94" s="140"/>
      <c r="J94" s="45"/>
      <c r="K94" s="45"/>
      <c r="L94" s="45"/>
      <c r="M94" s="44"/>
      <c r="N94" s="45"/>
    </row>
    <row r="95" spans="2:14" s="48" customFormat="1" ht="12">
      <c r="B95" s="47"/>
      <c r="C95" s="139"/>
      <c r="D95" s="140"/>
      <c r="E95" s="45"/>
      <c r="F95" s="45"/>
      <c r="G95" s="45"/>
      <c r="H95" s="44"/>
      <c r="I95" s="140"/>
      <c r="J95" s="45"/>
      <c r="K95" s="45"/>
      <c r="L95" s="45"/>
      <c r="M95" s="44"/>
      <c r="N95" s="45"/>
    </row>
    <row r="96" spans="2:14" s="48" customFormat="1" ht="12">
      <c r="B96" s="47"/>
      <c r="C96" s="139"/>
      <c r="D96" s="140"/>
      <c r="E96" s="45"/>
      <c r="F96" s="45"/>
      <c r="G96" s="45"/>
      <c r="H96" s="44"/>
      <c r="I96" s="140"/>
      <c r="J96" s="45"/>
      <c r="K96" s="45"/>
      <c r="L96" s="45"/>
      <c r="M96" s="44"/>
      <c r="N96" s="45"/>
    </row>
    <row r="97" spans="2:14" s="48" customFormat="1" ht="12">
      <c r="B97" s="47"/>
      <c r="C97" s="139"/>
      <c r="D97" s="140"/>
      <c r="E97" s="45"/>
      <c r="F97" s="45"/>
      <c r="G97" s="45"/>
      <c r="H97" s="44"/>
      <c r="I97" s="140"/>
      <c r="J97" s="45"/>
      <c r="K97" s="45"/>
      <c r="L97" s="45"/>
      <c r="M97" s="44"/>
      <c r="N97" s="45"/>
    </row>
    <row r="98" spans="2:14" s="48" customFormat="1" ht="12">
      <c r="B98" s="47"/>
      <c r="C98" s="139"/>
      <c r="D98" s="140"/>
      <c r="E98" s="45"/>
      <c r="F98" s="45"/>
      <c r="G98" s="45"/>
      <c r="H98" s="44"/>
      <c r="I98" s="140"/>
      <c r="J98" s="45"/>
      <c r="K98" s="45"/>
      <c r="L98" s="45"/>
      <c r="M98" s="44"/>
      <c r="N98" s="45"/>
    </row>
    <row r="99" spans="2:14" s="48" customFormat="1" ht="12">
      <c r="B99" s="47"/>
      <c r="C99" s="139"/>
      <c r="D99" s="140"/>
      <c r="E99" s="45"/>
      <c r="F99" s="45"/>
      <c r="G99" s="45"/>
      <c r="H99" s="44"/>
      <c r="I99" s="140"/>
      <c r="J99" s="45"/>
      <c r="K99" s="45"/>
      <c r="L99" s="45"/>
      <c r="M99" s="44"/>
      <c r="N99" s="45"/>
    </row>
    <row r="100" spans="2:14" s="48" customFormat="1" ht="12">
      <c r="B100" s="47"/>
      <c r="C100" s="139"/>
      <c r="D100" s="140"/>
      <c r="E100" s="45"/>
      <c r="F100" s="45"/>
      <c r="G100" s="45"/>
      <c r="H100" s="44"/>
      <c r="I100" s="140"/>
      <c r="J100" s="45"/>
      <c r="K100" s="45"/>
      <c r="L100" s="45"/>
      <c r="M100" s="44"/>
      <c r="N100" s="45"/>
    </row>
    <row r="101" spans="2:14" s="48" customFormat="1" ht="12">
      <c r="B101" s="47"/>
      <c r="C101" s="139"/>
      <c r="D101" s="140"/>
      <c r="E101" s="45"/>
      <c r="F101" s="45"/>
      <c r="G101" s="45"/>
      <c r="H101" s="44"/>
      <c r="I101" s="140"/>
      <c r="J101" s="45"/>
      <c r="K101" s="45"/>
      <c r="L101" s="45"/>
      <c r="M101" s="44"/>
      <c r="N101" s="45"/>
    </row>
    <row r="102" spans="2:14" s="48" customFormat="1" ht="12">
      <c r="B102" s="47"/>
      <c r="C102" s="139"/>
      <c r="D102" s="140"/>
      <c r="E102" s="45"/>
      <c r="F102" s="45"/>
      <c r="G102" s="45"/>
      <c r="H102" s="44"/>
      <c r="I102" s="140"/>
      <c r="J102" s="45"/>
      <c r="K102" s="45"/>
      <c r="L102" s="45"/>
      <c r="M102" s="44"/>
      <c r="N102" s="45"/>
    </row>
    <row r="103" spans="2:14" s="48" customFormat="1" ht="12">
      <c r="B103" s="47"/>
      <c r="C103" s="139"/>
      <c r="D103" s="140"/>
      <c r="E103" s="45"/>
      <c r="F103" s="45"/>
      <c r="G103" s="45"/>
      <c r="H103" s="44"/>
      <c r="I103" s="140"/>
      <c r="J103" s="45"/>
      <c r="K103" s="45"/>
      <c r="L103" s="45"/>
      <c r="M103" s="44"/>
      <c r="N103" s="45"/>
    </row>
    <row r="104" spans="2:14" s="48" customFormat="1" ht="12">
      <c r="B104" s="47"/>
      <c r="C104" s="139"/>
      <c r="D104" s="140"/>
      <c r="E104" s="45"/>
      <c r="F104" s="45"/>
      <c r="G104" s="45"/>
      <c r="H104" s="44"/>
      <c r="I104" s="140"/>
      <c r="J104" s="45"/>
      <c r="K104" s="45"/>
      <c r="L104" s="45"/>
      <c r="M104" s="44"/>
      <c r="N104" s="45"/>
    </row>
    <row r="105" spans="2:14" s="48" customFormat="1" ht="12">
      <c r="B105" s="47"/>
      <c r="C105" s="139"/>
      <c r="D105" s="140"/>
      <c r="E105" s="45"/>
      <c r="F105" s="45"/>
      <c r="G105" s="45"/>
      <c r="H105" s="44"/>
      <c r="I105" s="140"/>
      <c r="J105" s="45"/>
      <c r="K105" s="45"/>
      <c r="L105" s="45"/>
      <c r="M105" s="44"/>
      <c r="N105" s="45"/>
    </row>
    <row r="106" spans="2:14" s="48" customFormat="1" ht="12">
      <c r="B106" s="47"/>
      <c r="C106" s="139"/>
      <c r="D106" s="140"/>
      <c r="E106" s="45"/>
      <c r="F106" s="45"/>
      <c r="G106" s="45"/>
      <c r="H106" s="44"/>
      <c r="I106" s="140"/>
      <c r="J106" s="45"/>
      <c r="K106" s="45"/>
      <c r="L106" s="45"/>
      <c r="M106" s="44"/>
      <c r="N106" s="45"/>
    </row>
    <row r="107" spans="2:14" s="48" customFormat="1" ht="12">
      <c r="B107" s="47"/>
      <c r="C107" s="139"/>
      <c r="D107" s="140"/>
      <c r="E107" s="45"/>
      <c r="F107" s="45"/>
      <c r="G107" s="45"/>
      <c r="H107" s="44"/>
      <c r="I107" s="140"/>
      <c r="J107" s="45"/>
      <c r="K107" s="45"/>
      <c r="L107" s="45"/>
      <c r="M107" s="44"/>
      <c r="N107" s="45"/>
    </row>
    <row r="108" spans="2:14" s="48" customFormat="1" ht="12">
      <c r="B108" s="47"/>
      <c r="C108" s="139"/>
      <c r="D108" s="140"/>
      <c r="E108" s="45"/>
      <c r="F108" s="45"/>
      <c r="G108" s="45"/>
      <c r="H108" s="44"/>
      <c r="I108" s="140"/>
      <c r="J108" s="45"/>
      <c r="K108" s="45"/>
      <c r="L108" s="45"/>
      <c r="M108" s="44"/>
      <c r="N108" s="45"/>
    </row>
    <row r="109" spans="2:14" s="48" customFormat="1" ht="12">
      <c r="B109" s="47"/>
      <c r="C109" s="139"/>
      <c r="D109" s="140"/>
      <c r="E109" s="45"/>
      <c r="F109" s="45"/>
      <c r="G109" s="45"/>
      <c r="H109" s="44"/>
      <c r="I109" s="140"/>
      <c r="J109" s="45"/>
      <c r="K109" s="45"/>
      <c r="L109" s="45"/>
      <c r="M109" s="44"/>
      <c r="N109" s="45"/>
    </row>
    <row r="110" spans="2:14" s="48" customFormat="1" ht="12">
      <c r="B110" s="47"/>
      <c r="C110" s="139"/>
      <c r="D110" s="140"/>
      <c r="E110" s="45"/>
      <c r="F110" s="45"/>
      <c r="G110" s="45"/>
      <c r="H110" s="44"/>
      <c r="I110" s="140"/>
      <c r="J110" s="45"/>
      <c r="K110" s="45"/>
      <c r="L110" s="45"/>
      <c r="M110" s="44"/>
      <c r="N110" s="45"/>
    </row>
  </sheetData>
  <mergeCells count="3">
    <mergeCell ref="E34:G34"/>
    <mergeCell ref="E35:G35"/>
    <mergeCell ref="E32:G32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13" useFirstPageNumber="1" horizontalDpi="600" verticalDpi="600" orientation="landscape" paperSize="9" scale="70" r:id="rId1"/>
  <headerFooter alignWithMargins="0">
    <oddFooter>&amp;R&amp;"Times New Roman,Grassetto"&amp;14&amp;P</oddFooter>
  </headerFooter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26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47" customWidth="1"/>
    <col min="3" max="3" width="3.8515625" style="68" customWidth="1"/>
    <col min="4" max="4" width="9.57421875" style="69" customWidth="1"/>
    <col min="5" max="5" width="12.28125" style="8" bestFit="1" customWidth="1"/>
    <col min="6" max="6" width="9.00390625" style="8" customWidth="1"/>
    <col min="7" max="7" width="9.7109375" style="8" bestFit="1" customWidth="1"/>
    <col min="8" max="8" width="3.8515625" style="91" customWidth="1"/>
    <col min="9" max="9" width="9.140625" style="69" customWidth="1"/>
    <col min="10" max="10" width="10.57421875" style="8" bestFit="1" customWidth="1"/>
    <col min="11" max="11" width="9.00390625" style="8" customWidth="1"/>
    <col min="12" max="12" width="8.28125" style="8" customWidth="1"/>
    <col min="13" max="13" width="3.8515625" style="91" customWidth="1"/>
    <col min="14" max="14" width="26.003906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353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369"/>
    </row>
    <row r="5" spans="1:14" ht="39" customHeight="1">
      <c r="A5" s="99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3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157" customFormat="1" ht="24.75" customHeight="1">
      <c r="A7" s="333" t="s">
        <v>243</v>
      </c>
      <c r="C7" s="64"/>
      <c r="D7" s="243">
        <f>SUM(D8:D19)</f>
        <v>5657</v>
      </c>
      <c r="E7" s="243"/>
      <c r="F7" s="243"/>
      <c r="G7" s="243"/>
      <c r="H7" s="153"/>
      <c r="I7" s="243">
        <f>SUM(I8:I19)</f>
        <v>5657</v>
      </c>
      <c r="J7" s="243"/>
      <c r="K7" s="243"/>
      <c r="L7" s="243"/>
      <c r="M7" s="156"/>
      <c r="N7" s="376"/>
    </row>
    <row r="8" spans="1:14" s="157" customFormat="1" ht="24">
      <c r="A8" s="155"/>
      <c r="B8" s="370" t="s">
        <v>321</v>
      </c>
      <c r="C8" s="64"/>
      <c r="D8" s="98">
        <v>1782</v>
      </c>
      <c r="E8" s="98" t="s">
        <v>327</v>
      </c>
      <c r="F8" s="98" t="s">
        <v>145</v>
      </c>
      <c r="G8" s="259">
        <v>37244</v>
      </c>
      <c r="H8" s="153"/>
      <c r="I8" s="98">
        <v>1782</v>
      </c>
      <c r="J8" s="98" t="s">
        <v>327</v>
      </c>
      <c r="K8" s="98" t="s">
        <v>145</v>
      </c>
      <c r="L8" s="259">
        <v>37244</v>
      </c>
      <c r="M8" s="156"/>
      <c r="N8" s="306"/>
    </row>
    <row r="9" spans="1:14" s="157" customFormat="1" ht="12">
      <c r="A9" s="155"/>
      <c r="B9" s="370"/>
      <c r="C9" s="64"/>
      <c r="D9" s="98">
        <v>289</v>
      </c>
      <c r="E9" s="98" t="s">
        <v>305</v>
      </c>
      <c r="F9" s="98"/>
      <c r="G9" s="259"/>
      <c r="H9" s="153"/>
      <c r="I9" s="98">
        <v>289</v>
      </c>
      <c r="J9" s="98" t="s">
        <v>305</v>
      </c>
      <c r="K9" s="98"/>
      <c r="L9" s="259"/>
      <c r="M9" s="156"/>
      <c r="N9" s="306"/>
    </row>
    <row r="10" spans="1:14" s="157" customFormat="1" ht="24">
      <c r="A10" s="155"/>
      <c r="B10" s="370" t="s">
        <v>426</v>
      </c>
      <c r="C10" s="64"/>
      <c r="D10" s="98">
        <v>1000</v>
      </c>
      <c r="E10" s="98" t="s">
        <v>142</v>
      </c>
      <c r="F10" s="98" t="s">
        <v>145</v>
      </c>
      <c r="G10" s="259">
        <v>37076</v>
      </c>
      <c r="H10" s="153"/>
      <c r="I10" s="98">
        <v>1000</v>
      </c>
      <c r="J10" s="98" t="s">
        <v>142</v>
      </c>
      <c r="K10" s="98" t="s">
        <v>145</v>
      </c>
      <c r="L10" s="259">
        <v>37076</v>
      </c>
      <c r="M10" s="156"/>
      <c r="N10" s="306"/>
    </row>
    <row r="11" spans="1:14" s="157" customFormat="1" ht="12">
      <c r="A11" s="155"/>
      <c r="B11" s="370"/>
      <c r="C11" s="64"/>
      <c r="D11" s="98">
        <v>805</v>
      </c>
      <c r="E11" s="98" t="s">
        <v>142</v>
      </c>
      <c r="F11" s="98" t="s">
        <v>145</v>
      </c>
      <c r="G11" s="259">
        <v>37112</v>
      </c>
      <c r="H11" s="153"/>
      <c r="I11" s="98">
        <v>805</v>
      </c>
      <c r="J11" s="98" t="s">
        <v>142</v>
      </c>
      <c r="K11" s="98" t="s">
        <v>145</v>
      </c>
      <c r="L11" s="259">
        <v>37112</v>
      </c>
      <c r="M11" s="156"/>
      <c r="N11" s="306"/>
    </row>
    <row r="12" spans="1:14" s="157" customFormat="1" ht="12">
      <c r="A12" s="155"/>
      <c r="B12" s="370"/>
      <c r="C12" s="64"/>
      <c r="D12" s="98">
        <v>195</v>
      </c>
      <c r="E12" s="98" t="s">
        <v>142</v>
      </c>
      <c r="F12" s="98" t="s">
        <v>145</v>
      </c>
      <c r="G12" s="259">
        <v>37169</v>
      </c>
      <c r="H12" s="153"/>
      <c r="I12" s="98">
        <v>195</v>
      </c>
      <c r="J12" s="98" t="s">
        <v>142</v>
      </c>
      <c r="K12" s="98" t="s">
        <v>145</v>
      </c>
      <c r="L12" s="259">
        <v>37169</v>
      </c>
      <c r="M12" s="156"/>
      <c r="N12" s="306"/>
    </row>
    <row r="13" spans="1:14" s="157" customFormat="1" ht="12">
      <c r="A13" s="155"/>
      <c r="B13" s="370" t="s">
        <v>80</v>
      </c>
      <c r="C13" s="64"/>
      <c r="D13" s="98">
        <v>565</v>
      </c>
      <c r="E13" s="98" t="s">
        <v>155</v>
      </c>
      <c r="F13" s="98" t="s">
        <v>145</v>
      </c>
      <c r="G13" s="259">
        <v>37207</v>
      </c>
      <c r="H13" s="153"/>
      <c r="I13" s="98">
        <v>565</v>
      </c>
      <c r="J13" s="98" t="s">
        <v>155</v>
      </c>
      <c r="K13" s="98" t="s">
        <v>145</v>
      </c>
      <c r="L13" s="259">
        <v>37207</v>
      </c>
      <c r="M13" s="156"/>
      <c r="N13" s="306" t="s">
        <v>174</v>
      </c>
    </row>
    <row r="14" spans="1:14" s="157" customFormat="1" ht="24">
      <c r="A14" s="155"/>
      <c r="B14" s="370" t="s">
        <v>284</v>
      </c>
      <c r="C14" s="64"/>
      <c r="D14" s="98">
        <v>740</v>
      </c>
      <c r="E14" s="98" t="s">
        <v>142</v>
      </c>
      <c r="F14" s="98" t="s">
        <v>145</v>
      </c>
      <c r="G14" s="259">
        <v>37223</v>
      </c>
      <c r="H14" s="153"/>
      <c r="I14" s="98">
        <v>740</v>
      </c>
      <c r="J14" s="98" t="s">
        <v>142</v>
      </c>
      <c r="K14" s="98" t="s">
        <v>145</v>
      </c>
      <c r="L14" s="259">
        <v>37223</v>
      </c>
      <c r="M14" s="156"/>
      <c r="N14" s="306"/>
    </row>
    <row r="15" spans="1:14" s="157" customFormat="1" ht="24">
      <c r="A15" s="155"/>
      <c r="B15" s="370" t="s">
        <v>272</v>
      </c>
      <c r="C15" s="64"/>
      <c r="D15" s="98">
        <v>30</v>
      </c>
      <c r="E15" s="98" t="s">
        <v>142</v>
      </c>
      <c r="F15" s="98" t="s">
        <v>145</v>
      </c>
      <c r="G15" s="259">
        <v>36899</v>
      </c>
      <c r="H15" s="153"/>
      <c r="I15" s="98">
        <v>30</v>
      </c>
      <c r="J15" s="98" t="s">
        <v>142</v>
      </c>
      <c r="K15" s="98" t="s">
        <v>145</v>
      </c>
      <c r="L15" s="259">
        <v>36899</v>
      </c>
      <c r="M15" s="156"/>
      <c r="N15" s="306" t="s">
        <v>156</v>
      </c>
    </row>
    <row r="16" spans="1:14" s="157" customFormat="1" ht="24">
      <c r="A16" s="155"/>
      <c r="B16" s="370" t="s">
        <v>20</v>
      </c>
      <c r="C16" s="64"/>
      <c r="D16" s="98">
        <v>42</v>
      </c>
      <c r="E16" s="98" t="s">
        <v>142</v>
      </c>
      <c r="F16" s="98" t="s">
        <v>145</v>
      </c>
      <c r="G16" s="259">
        <v>37097</v>
      </c>
      <c r="H16" s="153"/>
      <c r="I16" s="98">
        <v>42</v>
      </c>
      <c r="J16" s="98" t="s">
        <v>142</v>
      </c>
      <c r="K16" s="98" t="s">
        <v>145</v>
      </c>
      <c r="L16" s="259">
        <v>37097</v>
      </c>
      <c r="M16" s="156"/>
      <c r="N16" s="306" t="s">
        <v>156</v>
      </c>
    </row>
    <row r="17" spans="1:14" s="157" customFormat="1" ht="24">
      <c r="A17" s="155"/>
      <c r="B17" s="370" t="s">
        <v>330</v>
      </c>
      <c r="C17" s="64"/>
      <c r="D17" s="98">
        <v>128</v>
      </c>
      <c r="E17" s="98" t="s">
        <v>142</v>
      </c>
      <c r="F17" s="98" t="s">
        <v>145</v>
      </c>
      <c r="G17" s="259">
        <v>37137</v>
      </c>
      <c r="H17" s="153"/>
      <c r="I17" s="98">
        <v>128</v>
      </c>
      <c r="J17" s="98" t="s">
        <v>142</v>
      </c>
      <c r="K17" s="98" t="s">
        <v>145</v>
      </c>
      <c r="L17" s="259">
        <v>37137</v>
      </c>
      <c r="M17" s="156"/>
      <c r="N17" s="306"/>
    </row>
    <row r="18" spans="1:14" s="157" customFormat="1" ht="36">
      <c r="A18" s="155"/>
      <c r="B18" s="370" t="s">
        <v>19</v>
      </c>
      <c r="C18" s="64"/>
      <c r="D18" s="98">
        <v>73</v>
      </c>
      <c r="E18" s="98" t="s">
        <v>142</v>
      </c>
      <c r="F18" s="98" t="s">
        <v>145</v>
      </c>
      <c r="G18" s="259">
        <v>37125</v>
      </c>
      <c r="H18" s="153"/>
      <c r="I18" s="98">
        <v>73</v>
      </c>
      <c r="J18" s="98" t="s">
        <v>142</v>
      </c>
      <c r="K18" s="98" t="s">
        <v>145</v>
      </c>
      <c r="L18" s="259">
        <v>37125</v>
      </c>
      <c r="M18" s="156"/>
      <c r="N18" s="306"/>
    </row>
    <row r="19" spans="1:14" s="157" customFormat="1" ht="24">
      <c r="A19" s="155"/>
      <c r="B19" s="370" t="s">
        <v>306</v>
      </c>
      <c r="C19" s="64"/>
      <c r="D19" s="98">
        <v>8</v>
      </c>
      <c r="E19" s="98" t="s">
        <v>155</v>
      </c>
      <c r="F19" s="98" t="s">
        <v>145</v>
      </c>
      <c r="G19" s="259">
        <v>37210</v>
      </c>
      <c r="H19" s="153"/>
      <c r="I19" s="98">
        <v>8</v>
      </c>
      <c r="J19" s="98" t="s">
        <v>155</v>
      </c>
      <c r="K19" s="98" t="s">
        <v>145</v>
      </c>
      <c r="L19" s="259">
        <v>37210</v>
      </c>
      <c r="M19" s="156"/>
      <c r="N19" s="306" t="s">
        <v>174</v>
      </c>
    </row>
    <row r="20" spans="1:14" s="238" customFormat="1" ht="24" customHeight="1">
      <c r="A20" s="333" t="s">
        <v>427</v>
      </c>
      <c r="B20" s="237"/>
      <c r="C20" s="64"/>
      <c r="D20" s="243">
        <f>SUM(D21:D23)</f>
        <v>3287</v>
      </c>
      <c r="E20" s="243"/>
      <c r="F20" s="243"/>
      <c r="G20" s="243"/>
      <c r="H20" s="236"/>
      <c r="I20" s="243">
        <f>SUM(I21:I23)</f>
        <v>3287</v>
      </c>
      <c r="J20" s="243"/>
      <c r="K20" s="243"/>
      <c r="L20" s="243"/>
      <c r="M20" s="235"/>
      <c r="N20" s="306"/>
    </row>
    <row r="21" spans="1:14" s="238" customFormat="1" ht="45">
      <c r="A21" s="333"/>
      <c r="B21" s="237" t="s">
        <v>58</v>
      </c>
      <c r="C21" s="64"/>
      <c r="D21" s="98">
        <v>1412</v>
      </c>
      <c r="E21" s="98" t="s">
        <v>262</v>
      </c>
      <c r="F21" s="98" t="s">
        <v>145</v>
      </c>
      <c r="G21" s="259">
        <v>37075</v>
      </c>
      <c r="H21" s="236"/>
      <c r="I21" s="98">
        <v>1412</v>
      </c>
      <c r="J21" s="98" t="s">
        <v>262</v>
      </c>
      <c r="K21" s="98" t="s">
        <v>145</v>
      </c>
      <c r="L21" s="259">
        <v>37075</v>
      </c>
      <c r="M21" s="235"/>
      <c r="N21" s="378" t="s">
        <v>242</v>
      </c>
    </row>
    <row r="22" spans="1:14" s="238" customFormat="1" ht="45">
      <c r="A22" s="333"/>
      <c r="B22" s="237" t="s">
        <v>419</v>
      </c>
      <c r="C22" s="64"/>
      <c r="D22" s="98">
        <v>975</v>
      </c>
      <c r="E22" s="98" t="s">
        <v>142</v>
      </c>
      <c r="F22" s="98" t="s">
        <v>145</v>
      </c>
      <c r="G22" s="259">
        <v>37222</v>
      </c>
      <c r="H22" s="236"/>
      <c r="I22" s="98">
        <v>975</v>
      </c>
      <c r="J22" s="98" t="s">
        <v>142</v>
      </c>
      <c r="K22" s="98" t="s">
        <v>145</v>
      </c>
      <c r="L22" s="259">
        <v>37222</v>
      </c>
      <c r="M22" s="235"/>
      <c r="N22" s="378" t="s">
        <v>242</v>
      </c>
    </row>
    <row r="23" spans="1:14" s="238" customFormat="1" ht="45">
      <c r="A23" s="333"/>
      <c r="B23" s="377" t="s">
        <v>420</v>
      </c>
      <c r="C23" s="64"/>
      <c r="D23" s="98">
        <v>900</v>
      </c>
      <c r="E23" s="98" t="s">
        <v>147</v>
      </c>
      <c r="F23" s="98" t="s">
        <v>145</v>
      </c>
      <c r="G23" s="259">
        <v>37075</v>
      </c>
      <c r="H23" s="236"/>
      <c r="I23" s="98">
        <v>900</v>
      </c>
      <c r="J23" s="98" t="s">
        <v>147</v>
      </c>
      <c r="K23" s="98" t="s">
        <v>145</v>
      </c>
      <c r="L23" s="259">
        <v>37075</v>
      </c>
      <c r="M23" s="235"/>
      <c r="N23" s="378" t="s">
        <v>242</v>
      </c>
    </row>
    <row r="24" spans="1:14" s="238" customFormat="1" ht="24" customHeight="1">
      <c r="A24" s="155" t="s">
        <v>373</v>
      </c>
      <c r="B24" s="377"/>
      <c r="C24" s="64"/>
      <c r="D24" s="243">
        <f>SUM(D25:D25)</f>
        <v>4500</v>
      </c>
      <c r="E24" s="243"/>
      <c r="F24" s="243"/>
      <c r="G24" s="243"/>
      <c r="H24" s="236"/>
      <c r="I24" s="243">
        <f>SUM(I25:I25)</f>
        <v>4500</v>
      </c>
      <c r="J24" s="243"/>
      <c r="K24" s="243"/>
      <c r="L24" s="243"/>
      <c r="M24" s="235"/>
      <c r="N24" s="306"/>
    </row>
    <row r="25" spans="1:14" s="238" customFormat="1" ht="12">
      <c r="A25" s="155"/>
      <c r="B25" s="370" t="s">
        <v>72</v>
      </c>
      <c r="C25" s="64"/>
      <c r="D25" s="98">
        <v>4500</v>
      </c>
      <c r="E25" s="98" t="s">
        <v>155</v>
      </c>
      <c r="F25" s="98" t="s">
        <v>145</v>
      </c>
      <c r="G25" s="259">
        <v>37179</v>
      </c>
      <c r="H25" s="236"/>
      <c r="I25" s="98">
        <v>4500</v>
      </c>
      <c r="J25" s="98" t="s">
        <v>155</v>
      </c>
      <c r="K25" s="98" t="s">
        <v>335</v>
      </c>
      <c r="L25" s="259">
        <v>37235</v>
      </c>
      <c r="M25" s="235"/>
      <c r="N25" s="306" t="s">
        <v>403</v>
      </c>
    </row>
    <row r="26" spans="1:14" s="315" customFormat="1" ht="39" customHeight="1">
      <c r="A26" s="567" t="s">
        <v>244</v>
      </c>
      <c r="B26" s="564"/>
      <c r="C26" s="64"/>
      <c r="D26" s="243">
        <f>SUM(D27:D41)</f>
        <v>33701</v>
      </c>
      <c r="E26" s="243"/>
      <c r="F26" s="243"/>
      <c r="G26" s="243"/>
      <c r="H26" s="153"/>
      <c r="I26" s="243">
        <f>SUM(I27:I41)</f>
        <v>33701</v>
      </c>
      <c r="J26" s="243"/>
      <c r="K26" s="243"/>
      <c r="L26" s="243"/>
      <c r="M26" s="156"/>
      <c r="N26" s="306" t="s">
        <v>2</v>
      </c>
    </row>
    <row r="27" spans="1:14" s="315" customFormat="1" ht="24">
      <c r="A27" s="372"/>
      <c r="B27" s="377" t="s">
        <v>141</v>
      </c>
      <c r="C27" s="64"/>
      <c r="D27" s="98">
        <v>26</v>
      </c>
      <c r="E27" s="98" t="s">
        <v>142</v>
      </c>
      <c r="F27" s="98" t="s">
        <v>143</v>
      </c>
      <c r="G27" s="259">
        <v>36921</v>
      </c>
      <c r="H27" s="153"/>
      <c r="I27" s="98">
        <v>26</v>
      </c>
      <c r="J27" s="98" t="s">
        <v>142</v>
      </c>
      <c r="K27" s="98" t="s">
        <v>143</v>
      </c>
      <c r="L27" s="259">
        <v>36921</v>
      </c>
      <c r="M27" s="156"/>
      <c r="N27" s="306"/>
    </row>
    <row r="28" spans="1:14" s="315" customFormat="1" ht="24">
      <c r="A28" s="372"/>
      <c r="B28" s="377" t="s">
        <v>183</v>
      </c>
      <c r="C28" s="64"/>
      <c r="D28" s="98">
        <v>103</v>
      </c>
      <c r="E28" s="98" t="s">
        <v>142</v>
      </c>
      <c r="F28" s="98" t="s">
        <v>184</v>
      </c>
      <c r="G28" s="259">
        <v>36969</v>
      </c>
      <c r="H28" s="153"/>
      <c r="I28" s="98">
        <v>103</v>
      </c>
      <c r="J28" s="98" t="s">
        <v>142</v>
      </c>
      <c r="K28" s="98" t="s">
        <v>184</v>
      </c>
      <c r="L28" s="259">
        <v>36969</v>
      </c>
      <c r="M28" s="156"/>
      <c r="N28" s="306"/>
    </row>
    <row r="29" spans="1:14" s="315" customFormat="1" ht="33.75">
      <c r="A29" s="372"/>
      <c r="B29" s="377" t="s">
        <v>240</v>
      </c>
      <c r="C29" s="64"/>
      <c r="D29" s="98">
        <v>22</v>
      </c>
      <c r="E29" s="98" t="s">
        <v>142</v>
      </c>
      <c r="F29" s="98" t="s">
        <v>241</v>
      </c>
      <c r="G29" s="259">
        <v>37018</v>
      </c>
      <c r="H29" s="153"/>
      <c r="I29" s="98">
        <v>22</v>
      </c>
      <c r="J29" s="98" t="s">
        <v>142</v>
      </c>
      <c r="K29" s="98" t="s">
        <v>241</v>
      </c>
      <c r="L29" s="259">
        <v>37018</v>
      </c>
      <c r="M29" s="156"/>
      <c r="N29" s="378" t="s">
        <v>258</v>
      </c>
    </row>
    <row r="30" spans="1:14" s="315" customFormat="1" ht="24">
      <c r="A30" s="372"/>
      <c r="B30" s="377" t="s">
        <v>317</v>
      </c>
      <c r="C30" s="64"/>
      <c r="D30" s="98">
        <v>1632</v>
      </c>
      <c r="E30" s="98" t="s">
        <v>142</v>
      </c>
      <c r="F30" s="98" t="s">
        <v>318</v>
      </c>
      <c r="G30" s="259">
        <v>37039</v>
      </c>
      <c r="H30" s="153"/>
      <c r="I30" s="98">
        <v>1632</v>
      </c>
      <c r="J30" s="98" t="s">
        <v>142</v>
      </c>
      <c r="K30" s="98" t="s">
        <v>318</v>
      </c>
      <c r="L30" s="259">
        <v>37039</v>
      </c>
      <c r="M30" s="156"/>
      <c r="N30" s="378" t="s">
        <v>319</v>
      </c>
    </row>
    <row r="31" spans="1:14" s="315" customFormat="1" ht="24">
      <c r="A31" s="372"/>
      <c r="B31" s="377" t="s">
        <v>307</v>
      </c>
      <c r="C31" s="64"/>
      <c r="D31" s="98">
        <v>71</v>
      </c>
      <c r="E31" s="98" t="s">
        <v>142</v>
      </c>
      <c r="F31" s="98" t="s">
        <v>308</v>
      </c>
      <c r="G31" s="259">
        <v>37039</v>
      </c>
      <c r="H31" s="153"/>
      <c r="I31" s="98">
        <v>71</v>
      </c>
      <c r="J31" s="98" t="s">
        <v>142</v>
      </c>
      <c r="K31" s="98" t="s">
        <v>308</v>
      </c>
      <c r="L31" s="259">
        <v>37039</v>
      </c>
      <c r="M31" s="156"/>
      <c r="N31" s="378" t="s">
        <v>319</v>
      </c>
    </row>
    <row r="32" spans="1:14" s="315" customFormat="1" ht="45">
      <c r="A32" s="372"/>
      <c r="B32" s="234" t="s">
        <v>13</v>
      </c>
      <c r="C32" s="64"/>
      <c r="D32" s="98">
        <v>34</v>
      </c>
      <c r="E32" s="98" t="s">
        <v>142</v>
      </c>
      <c r="F32" s="98" t="s">
        <v>14</v>
      </c>
      <c r="G32" s="259">
        <v>37098</v>
      </c>
      <c r="H32" s="153"/>
      <c r="I32" s="98">
        <v>34</v>
      </c>
      <c r="J32" s="98" t="s">
        <v>142</v>
      </c>
      <c r="K32" s="98" t="s">
        <v>14</v>
      </c>
      <c r="L32" s="259">
        <v>37098</v>
      </c>
      <c r="M32" s="156"/>
      <c r="N32" s="378" t="s">
        <v>15</v>
      </c>
    </row>
    <row r="33" spans="1:14" s="315" customFormat="1" ht="43.5" customHeight="1">
      <c r="A33" s="372"/>
      <c r="B33" s="234" t="s">
        <v>22</v>
      </c>
      <c r="C33" s="64"/>
      <c r="D33" s="98">
        <v>775</v>
      </c>
      <c r="E33" s="98" t="s">
        <v>142</v>
      </c>
      <c r="F33" s="98" t="s">
        <v>23</v>
      </c>
      <c r="G33" s="259">
        <v>37067</v>
      </c>
      <c r="H33" s="153"/>
      <c r="I33" s="98">
        <v>775</v>
      </c>
      <c r="J33" s="98" t="s">
        <v>142</v>
      </c>
      <c r="K33" s="98" t="s">
        <v>23</v>
      </c>
      <c r="L33" s="259">
        <v>37067</v>
      </c>
      <c r="M33" s="156"/>
      <c r="N33" s="378" t="s">
        <v>24</v>
      </c>
    </row>
    <row r="34" spans="1:14" s="315" customFormat="1" ht="33.75">
      <c r="A34" s="372"/>
      <c r="B34" s="377" t="s">
        <v>38</v>
      </c>
      <c r="C34" s="64"/>
      <c r="D34" s="98">
        <v>1309</v>
      </c>
      <c r="E34" s="98" t="s">
        <v>151</v>
      </c>
      <c r="F34" s="98" t="s">
        <v>145</v>
      </c>
      <c r="G34" s="259">
        <v>37075</v>
      </c>
      <c r="H34" s="153"/>
      <c r="I34" s="98">
        <v>1309</v>
      </c>
      <c r="J34" s="98" t="s">
        <v>151</v>
      </c>
      <c r="K34" s="98" t="s">
        <v>145</v>
      </c>
      <c r="L34" s="259">
        <v>37075</v>
      </c>
      <c r="M34" s="156"/>
      <c r="N34" s="378" t="s">
        <v>39</v>
      </c>
    </row>
    <row r="35" spans="1:14" s="315" customFormat="1" ht="12">
      <c r="A35" s="372"/>
      <c r="B35" s="234"/>
      <c r="C35" s="64"/>
      <c r="D35" s="98">
        <v>20</v>
      </c>
      <c r="E35" s="98" t="s">
        <v>142</v>
      </c>
      <c r="F35" s="98"/>
      <c r="G35" s="259"/>
      <c r="H35" s="153"/>
      <c r="I35" s="98">
        <v>20</v>
      </c>
      <c r="J35" s="98" t="s">
        <v>142</v>
      </c>
      <c r="K35" s="98"/>
      <c r="L35" s="259"/>
      <c r="M35" s="156"/>
      <c r="N35" s="378"/>
    </row>
    <row r="36" spans="1:14" s="315" customFormat="1" ht="24">
      <c r="A36" s="372"/>
      <c r="B36" s="234" t="s">
        <v>191</v>
      </c>
      <c r="C36" s="64"/>
      <c r="D36" s="98">
        <v>1050</v>
      </c>
      <c r="E36" s="98" t="s">
        <v>142</v>
      </c>
      <c r="F36" s="98" t="s">
        <v>192</v>
      </c>
      <c r="G36" s="259">
        <v>37144</v>
      </c>
      <c r="H36" s="153"/>
      <c r="I36" s="98">
        <v>1050</v>
      </c>
      <c r="J36" s="98" t="s">
        <v>142</v>
      </c>
      <c r="K36" s="98" t="s">
        <v>192</v>
      </c>
      <c r="L36" s="259">
        <v>37144</v>
      </c>
      <c r="M36" s="156"/>
      <c r="N36" s="378"/>
    </row>
    <row r="37" spans="1:14" s="315" customFormat="1" ht="24">
      <c r="A37" s="372"/>
      <c r="B37" s="234" t="s">
        <v>16</v>
      </c>
      <c r="C37" s="64"/>
      <c r="D37" s="98">
        <v>980</v>
      </c>
      <c r="E37" s="98" t="s">
        <v>142</v>
      </c>
      <c r="F37" s="98" t="s">
        <v>17</v>
      </c>
      <c r="G37" s="259">
        <v>37095</v>
      </c>
      <c r="H37" s="153"/>
      <c r="I37" s="98">
        <v>980</v>
      </c>
      <c r="J37" s="98" t="s">
        <v>142</v>
      </c>
      <c r="K37" s="98" t="s">
        <v>17</v>
      </c>
      <c r="L37" s="259">
        <v>37095</v>
      </c>
      <c r="M37" s="156"/>
      <c r="N37" s="378"/>
    </row>
    <row r="38" spans="1:14" s="315" customFormat="1" ht="24" customHeight="1">
      <c r="A38" s="372"/>
      <c r="B38" s="234" t="s">
        <v>10</v>
      </c>
      <c r="C38" s="64"/>
      <c r="D38" s="98">
        <v>1313</v>
      </c>
      <c r="E38" s="98" t="s">
        <v>142</v>
      </c>
      <c r="F38" s="98" t="s">
        <v>11</v>
      </c>
      <c r="G38" s="422">
        <v>37172</v>
      </c>
      <c r="H38" s="153"/>
      <c r="I38" s="98">
        <v>1313</v>
      </c>
      <c r="J38" s="98" t="s">
        <v>142</v>
      </c>
      <c r="K38" s="98" t="s">
        <v>11</v>
      </c>
      <c r="L38" s="422">
        <v>37172</v>
      </c>
      <c r="M38" s="156"/>
      <c r="N38" s="378"/>
    </row>
    <row r="39" spans="1:14" s="315" customFormat="1" ht="36">
      <c r="A39" s="372"/>
      <c r="B39" s="234" t="s">
        <v>460</v>
      </c>
      <c r="C39" s="64"/>
      <c r="D39" s="98">
        <v>18000</v>
      </c>
      <c r="E39" s="98" t="s">
        <v>142</v>
      </c>
      <c r="F39" s="533" t="s">
        <v>145</v>
      </c>
      <c r="G39" s="422">
        <v>37092</v>
      </c>
      <c r="H39" s="153"/>
      <c r="I39" s="98">
        <v>18000</v>
      </c>
      <c r="J39" s="98" t="s">
        <v>142</v>
      </c>
      <c r="K39" s="533" t="s">
        <v>145</v>
      </c>
      <c r="L39" s="422">
        <v>37092</v>
      </c>
      <c r="M39" s="156"/>
      <c r="N39" s="378" t="s">
        <v>481</v>
      </c>
    </row>
    <row r="40" spans="1:14" s="315" customFormat="1" ht="48">
      <c r="A40" s="372"/>
      <c r="B40" s="234" t="s">
        <v>457</v>
      </c>
      <c r="C40" s="64"/>
      <c r="D40" s="98">
        <v>4968</v>
      </c>
      <c r="E40" s="98" t="s">
        <v>142</v>
      </c>
      <c r="F40" s="98" t="s">
        <v>456</v>
      </c>
      <c r="G40" s="422">
        <v>37172</v>
      </c>
      <c r="H40" s="153"/>
      <c r="I40" s="98">
        <v>4968</v>
      </c>
      <c r="J40" s="98" t="s">
        <v>142</v>
      </c>
      <c r="K40" s="98" t="s">
        <v>456</v>
      </c>
      <c r="L40" s="422">
        <v>37172</v>
      </c>
      <c r="M40" s="156"/>
      <c r="N40" s="378" t="s">
        <v>481</v>
      </c>
    </row>
    <row r="41" spans="1:14" s="315" customFormat="1" ht="24" customHeight="1">
      <c r="A41" s="372"/>
      <c r="B41" s="234" t="s">
        <v>458</v>
      </c>
      <c r="C41" s="64"/>
      <c r="D41" s="98">
        <v>3398</v>
      </c>
      <c r="E41" s="98" t="s">
        <v>142</v>
      </c>
      <c r="F41" s="98" t="s">
        <v>459</v>
      </c>
      <c r="G41" s="422">
        <v>37207</v>
      </c>
      <c r="H41" s="153"/>
      <c r="I41" s="98">
        <v>3398</v>
      </c>
      <c r="J41" s="98" t="s">
        <v>142</v>
      </c>
      <c r="K41" s="98" t="s">
        <v>459</v>
      </c>
      <c r="L41" s="422">
        <v>37207</v>
      </c>
      <c r="M41" s="156"/>
      <c r="N41" s="378" t="s">
        <v>480</v>
      </c>
    </row>
    <row r="42" spans="1:14" s="315" customFormat="1" ht="12">
      <c r="A42" s="372"/>
      <c r="B42" s="234"/>
      <c r="C42" s="64"/>
      <c r="D42" s="98"/>
      <c r="E42" s="98"/>
      <c r="F42" s="98"/>
      <c r="G42" s="422"/>
      <c r="H42" s="153"/>
      <c r="I42" s="98"/>
      <c r="J42" s="98"/>
      <c r="K42" s="98"/>
      <c r="L42" s="422"/>
      <c r="M42" s="156"/>
      <c r="N42" s="378"/>
    </row>
    <row r="43" spans="1:14" s="88" customFormat="1" ht="24" customHeight="1">
      <c r="A43" s="301"/>
      <c r="B43" s="379" t="s">
        <v>206</v>
      </c>
      <c r="C43" s="63"/>
      <c r="D43" s="87">
        <f>D7+D26+D24+D20</f>
        <v>47145</v>
      </c>
      <c r="E43" s="87"/>
      <c r="F43" s="87"/>
      <c r="G43" s="87"/>
      <c r="H43" s="380"/>
      <c r="I43" s="87">
        <f>I7+I26+I24+I20</f>
        <v>47145</v>
      </c>
      <c r="J43" s="87"/>
      <c r="K43" s="87"/>
      <c r="L43" s="87"/>
      <c r="M43" s="104"/>
      <c r="N43" s="381"/>
    </row>
    <row r="44" spans="1:14" s="14" customFormat="1" ht="12.75" customHeight="1">
      <c r="A44" s="52"/>
      <c r="B44" s="103"/>
      <c r="C44" s="77"/>
      <c r="D44" s="77"/>
      <c r="E44" s="104"/>
      <c r="F44" s="104"/>
      <c r="G44" s="104"/>
      <c r="H44" s="93"/>
      <c r="I44" s="77"/>
      <c r="J44" s="104"/>
      <c r="K44" s="104"/>
      <c r="L44" s="104"/>
      <c r="M44" s="93"/>
      <c r="N44" s="28"/>
    </row>
    <row r="45" ht="12">
      <c r="A45" s="187"/>
    </row>
  </sheetData>
  <mergeCells count="1">
    <mergeCell ref="A26:B26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15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55.140625" style="47" customWidth="1"/>
    <col min="3" max="3" width="3.8515625" style="68" customWidth="1"/>
    <col min="4" max="4" width="8.28125" style="69" customWidth="1"/>
    <col min="5" max="5" width="8.28125" style="8" customWidth="1"/>
    <col min="6" max="6" width="9.28125" style="8" bestFit="1" customWidth="1"/>
    <col min="7" max="7" width="8.28125" style="8" customWidth="1"/>
    <col min="8" max="8" width="3.8515625" style="91" customWidth="1"/>
    <col min="9" max="9" width="8.00390625" style="69" customWidth="1"/>
    <col min="10" max="10" width="8.28125" style="8" customWidth="1"/>
    <col min="11" max="11" width="9.28125" style="8" bestFit="1" customWidth="1"/>
    <col min="12" max="12" width="8.281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354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17" customFormat="1" ht="15.75">
      <c r="A4" s="114"/>
      <c r="B4" s="115"/>
      <c r="C4" s="118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16"/>
      <c r="N4" s="374"/>
    </row>
    <row r="5" spans="1:14" ht="39" customHeight="1">
      <c r="A5" s="112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3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157" customFormat="1" ht="24.75" customHeight="1">
      <c r="A7" s="354" t="s">
        <v>386</v>
      </c>
      <c r="C7" s="64"/>
      <c r="D7" s="243">
        <f>SUM(D8:D8)</f>
        <v>500</v>
      </c>
      <c r="E7" s="243"/>
      <c r="F7" s="243"/>
      <c r="G7" s="243"/>
      <c r="H7" s="153"/>
      <c r="I7" s="243">
        <f>SUM(I8:I8)</f>
        <v>500</v>
      </c>
      <c r="J7" s="243"/>
      <c r="K7" s="243"/>
      <c r="L7" s="243"/>
      <c r="M7" s="156"/>
      <c r="N7" s="306"/>
    </row>
    <row r="8" spans="1:14" s="238" customFormat="1" ht="12" customHeight="1">
      <c r="A8" s="155"/>
      <c r="B8" s="375" t="s">
        <v>3</v>
      </c>
      <c r="C8" s="236"/>
      <c r="D8" s="98">
        <v>500</v>
      </c>
      <c r="E8" s="98" t="s">
        <v>142</v>
      </c>
      <c r="F8" s="98" t="s">
        <v>145</v>
      </c>
      <c r="G8" s="259">
        <v>37236</v>
      </c>
      <c r="H8" s="236"/>
      <c r="I8" s="98">
        <v>500</v>
      </c>
      <c r="J8" s="98" t="s">
        <v>142</v>
      </c>
      <c r="K8" s="98" t="s">
        <v>145</v>
      </c>
      <c r="L8" s="259">
        <v>37236</v>
      </c>
      <c r="M8" s="235"/>
      <c r="N8" s="306"/>
    </row>
    <row r="9" spans="1:14" s="157" customFormat="1" ht="24.75" customHeight="1">
      <c r="A9" s="354" t="s">
        <v>4</v>
      </c>
      <c r="C9" s="64"/>
      <c r="D9" s="243">
        <f>SUM(D10:D27)</f>
        <v>3044</v>
      </c>
      <c r="E9" s="243"/>
      <c r="F9" s="243"/>
      <c r="G9" s="243"/>
      <c r="H9" s="153"/>
      <c r="I9" s="243">
        <f>SUM(I10:I27)</f>
        <v>3044</v>
      </c>
      <c r="J9" s="243"/>
      <c r="K9" s="243"/>
      <c r="L9" s="243"/>
      <c r="M9" s="156"/>
      <c r="N9" s="306"/>
    </row>
    <row r="10" spans="1:14" s="238" customFormat="1" ht="12">
      <c r="A10" s="155"/>
      <c r="B10" s="370" t="s">
        <v>5</v>
      </c>
      <c r="C10" s="236"/>
      <c r="D10" s="98">
        <v>531</v>
      </c>
      <c r="E10" s="98" t="s">
        <v>190</v>
      </c>
      <c r="F10" s="98" t="s">
        <v>145</v>
      </c>
      <c r="G10" s="259">
        <v>37203</v>
      </c>
      <c r="H10" s="236"/>
      <c r="I10" s="98">
        <v>531</v>
      </c>
      <c r="J10" s="98" t="s">
        <v>190</v>
      </c>
      <c r="K10" s="98" t="s">
        <v>145</v>
      </c>
      <c r="L10" s="259">
        <v>37203</v>
      </c>
      <c r="M10" s="235"/>
      <c r="N10" s="306"/>
    </row>
    <row r="11" spans="1:14" s="238" customFormat="1" ht="12.75" customHeight="1">
      <c r="A11" s="344"/>
      <c r="B11" s="370" t="s">
        <v>70</v>
      </c>
      <c r="C11" s="236"/>
      <c r="D11" s="98"/>
      <c r="E11" s="98"/>
      <c r="F11" s="98"/>
      <c r="G11" s="98"/>
      <c r="H11" s="236"/>
      <c r="I11" s="98"/>
      <c r="J11" s="98"/>
      <c r="K11" s="98"/>
      <c r="L11" s="98"/>
      <c r="M11" s="235"/>
      <c r="N11" s="306"/>
    </row>
    <row r="12" spans="1:14" s="238" customFormat="1" ht="12">
      <c r="A12" s="344"/>
      <c r="B12" s="420" t="s">
        <v>214</v>
      </c>
      <c r="C12" s="236"/>
      <c r="D12" s="98">
        <v>44</v>
      </c>
      <c r="E12" s="98" t="s">
        <v>142</v>
      </c>
      <c r="F12" s="98" t="s">
        <v>145</v>
      </c>
      <c r="G12" s="259">
        <v>37131</v>
      </c>
      <c r="H12" s="236"/>
      <c r="I12" s="98">
        <v>44</v>
      </c>
      <c r="J12" s="98" t="s">
        <v>142</v>
      </c>
      <c r="K12" s="98" t="s">
        <v>145</v>
      </c>
      <c r="L12" s="259">
        <v>37131</v>
      </c>
      <c r="M12" s="235"/>
      <c r="N12" s="306"/>
    </row>
    <row r="13" spans="1:14" s="238" customFormat="1" ht="12">
      <c r="A13" s="344"/>
      <c r="B13" s="420" t="s">
        <v>214</v>
      </c>
      <c r="C13" s="236"/>
      <c r="D13" s="98">
        <v>26</v>
      </c>
      <c r="E13" s="98" t="s">
        <v>142</v>
      </c>
      <c r="F13" s="98" t="s">
        <v>145</v>
      </c>
      <c r="G13" s="259">
        <v>37180</v>
      </c>
      <c r="H13" s="236"/>
      <c r="I13" s="98">
        <v>26</v>
      </c>
      <c r="J13" s="98" t="s">
        <v>142</v>
      </c>
      <c r="K13" s="98" t="s">
        <v>145</v>
      </c>
      <c r="L13" s="259">
        <v>37180</v>
      </c>
      <c r="M13" s="235"/>
      <c r="N13" s="306"/>
    </row>
    <row r="14" spans="1:14" s="238" customFormat="1" ht="12.75" customHeight="1">
      <c r="A14" s="344"/>
      <c r="B14" s="370" t="s">
        <v>397</v>
      </c>
      <c r="C14" s="236"/>
      <c r="D14" s="98">
        <v>55</v>
      </c>
      <c r="E14" s="98" t="s">
        <v>155</v>
      </c>
      <c r="F14" s="98" t="s">
        <v>398</v>
      </c>
      <c r="G14" s="259">
        <v>37102</v>
      </c>
      <c r="H14" s="236"/>
      <c r="I14" s="98">
        <v>55</v>
      </c>
      <c r="J14" s="98" t="s">
        <v>155</v>
      </c>
      <c r="K14" s="98" t="s">
        <v>398</v>
      </c>
      <c r="L14" s="259">
        <v>37102</v>
      </c>
      <c r="M14" s="235"/>
      <c r="N14" s="306" t="s">
        <v>201</v>
      </c>
    </row>
    <row r="15" spans="1:14" s="238" customFormat="1" ht="12.75" customHeight="1">
      <c r="A15" s="344"/>
      <c r="B15" s="370" t="s">
        <v>212</v>
      </c>
      <c r="C15" s="236"/>
      <c r="D15" s="98">
        <v>90</v>
      </c>
      <c r="E15" s="98" t="s">
        <v>190</v>
      </c>
      <c r="F15" s="98" t="s">
        <v>145</v>
      </c>
      <c r="G15" s="259">
        <v>36952</v>
      </c>
      <c r="H15" s="236"/>
      <c r="I15" s="98">
        <v>90</v>
      </c>
      <c r="J15" s="98" t="s">
        <v>190</v>
      </c>
      <c r="K15" s="98" t="s">
        <v>145</v>
      </c>
      <c r="L15" s="259">
        <v>36952</v>
      </c>
      <c r="M15" s="235"/>
      <c r="N15" s="306"/>
    </row>
    <row r="16" spans="1:14" s="238" customFormat="1" ht="12.75" customHeight="1">
      <c r="A16" s="344"/>
      <c r="B16" s="370" t="s">
        <v>213</v>
      </c>
      <c r="C16" s="236"/>
      <c r="D16" s="98">
        <v>50</v>
      </c>
      <c r="E16" s="98" t="s">
        <v>190</v>
      </c>
      <c r="F16" s="98" t="s">
        <v>145</v>
      </c>
      <c r="G16" s="259">
        <v>37166</v>
      </c>
      <c r="H16" s="236"/>
      <c r="I16" s="98">
        <v>50</v>
      </c>
      <c r="J16" s="98" t="s">
        <v>190</v>
      </c>
      <c r="K16" s="98" t="s">
        <v>145</v>
      </c>
      <c r="L16" s="259">
        <v>37166</v>
      </c>
      <c r="M16" s="235"/>
      <c r="N16" s="306"/>
    </row>
    <row r="17" spans="1:14" s="238" customFormat="1" ht="12.75" customHeight="1">
      <c r="A17" s="344"/>
      <c r="B17" s="370" t="s">
        <v>266</v>
      </c>
      <c r="C17" s="236"/>
      <c r="D17" s="98">
        <v>60</v>
      </c>
      <c r="E17" s="98" t="s">
        <v>155</v>
      </c>
      <c r="F17" s="98" t="s">
        <v>145</v>
      </c>
      <c r="G17" s="259">
        <v>37018</v>
      </c>
      <c r="H17" s="236"/>
      <c r="I17" s="98">
        <v>60</v>
      </c>
      <c r="J17" s="98" t="s">
        <v>155</v>
      </c>
      <c r="K17" s="98" t="s">
        <v>145</v>
      </c>
      <c r="L17" s="259">
        <v>37018</v>
      </c>
      <c r="M17" s="235"/>
      <c r="N17" s="306" t="s">
        <v>159</v>
      </c>
    </row>
    <row r="18" spans="1:14" s="238" customFormat="1" ht="12.75" customHeight="1">
      <c r="A18" s="344"/>
      <c r="B18" s="370" t="s">
        <v>266</v>
      </c>
      <c r="C18" s="236"/>
      <c r="D18" s="98">
        <v>8</v>
      </c>
      <c r="E18" s="98" t="s">
        <v>216</v>
      </c>
      <c r="F18" s="98" t="s">
        <v>145</v>
      </c>
      <c r="G18" s="259">
        <v>37225</v>
      </c>
      <c r="H18" s="236"/>
      <c r="I18" s="98">
        <v>8</v>
      </c>
      <c r="J18" s="98" t="s">
        <v>216</v>
      </c>
      <c r="K18" s="98" t="s">
        <v>145</v>
      </c>
      <c r="L18" s="259">
        <v>37225</v>
      </c>
      <c r="M18" s="235"/>
      <c r="N18" s="306"/>
    </row>
    <row r="19" spans="1:14" s="238" customFormat="1" ht="12.75" customHeight="1">
      <c r="A19" s="344"/>
      <c r="B19" s="370" t="s">
        <v>32</v>
      </c>
      <c r="C19" s="236"/>
      <c r="D19" s="98">
        <v>12</v>
      </c>
      <c r="E19" s="98" t="s">
        <v>155</v>
      </c>
      <c r="F19" s="98" t="s">
        <v>145</v>
      </c>
      <c r="G19" s="259">
        <v>37055</v>
      </c>
      <c r="H19" s="236"/>
      <c r="I19" s="98">
        <v>12</v>
      </c>
      <c r="J19" s="98" t="s">
        <v>155</v>
      </c>
      <c r="K19" s="98" t="s">
        <v>145</v>
      </c>
      <c r="L19" s="259">
        <v>37055</v>
      </c>
      <c r="M19" s="235"/>
      <c r="N19" s="306" t="s">
        <v>159</v>
      </c>
    </row>
    <row r="20" spans="1:14" s="238" customFormat="1" ht="12.75" customHeight="1">
      <c r="A20" s="344"/>
      <c r="B20" s="370" t="s">
        <v>215</v>
      </c>
      <c r="C20" s="236"/>
      <c r="D20" s="98">
        <v>44</v>
      </c>
      <c r="E20" s="98" t="s">
        <v>216</v>
      </c>
      <c r="F20" s="98" t="s">
        <v>145</v>
      </c>
      <c r="G20" s="259">
        <v>37176</v>
      </c>
      <c r="H20" s="236"/>
      <c r="I20" s="98">
        <v>44</v>
      </c>
      <c r="J20" s="98" t="s">
        <v>216</v>
      </c>
      <c r="K20" s="98" t="s">
        <v>145</v>
      </c>
      <c r="L20" s="259">
        <v>37176</v>
      </c>
      <c r="M20" s="235"/>
      <c r="N20" s="306"/>
    </row>
    <row r="21" spans="1:14" s="238" customFormat="1" ht="12.75" customHeight="1">
      <c r="A21" s="344"/>
      <c r="B21" s="370" t="s">
        <v>215</v>
      </c>
      <c r="C21" s="236"/>
      <c r="D21" s="98">
        <v>45</v>
      </c>
      <c r="E21" s="98" t="s">
        <v>217</v>
      </c>
      <c r="F21" s="98" t="s">
        <v>145</v>
      </c>
      <c r="G21" s="259">
        <v>37209</v>
      </c>
      <c r="H21" s="236"/>
      <c r="I21" s="98">
        <v>45</v>
      </c>
      <c r="J21" s="98" t="s">
        <v>217</v>
      </c>
      <c r="K21" s="98" t="s">
        <v>145</v>
      </c>
      <c r="L21" s="259">
        <v>37209</v>
      </c>
      <c r="M21" s="235"/>
      <c r="N21" s="306"/>
    </row>
    <row r="22" spans="1:14" s="238" customFormat="1" ht="12.75" customHeight="1">
      <c r="A22" s="344"/>
      <c r="B22" s="370"/>
      <c r="C22" s="236"/>
      <c r="D22" s="98">
        <v>23</v>
      </c>
      <c r="E22" s="98" t="s">
        <v>190</v>
      </c>
      <c r="F22" s="98"/>
      <c r="G22" s="259"/>
      <c r="H22" s="236"/>
      <c r="I22" s="98">
        <v>23</v>
      </c>
      <c r="J22" s="98" t="s">
        <v>190</v>
      </c>
      <c r="K22" s="98"/>
      <c r="L22" s="259"/>
      <c r="M22" s="235"/>
      <c r="N22" s="306"/>
    </row>
    <row r="23" spans="1:14" s="238" customFormat="1" ht="24">
      <c r="A23" s="344"/>
      <c r="B23" s="370" t="s">
        <v>71</v>
      </c>
      <c r="C23" s="236"/>
      <c r="D23" s="98"/>
      <c r="E23" s="98"/>
      <c r="F23" s="98"/>
      <c r="G23" s="259"/>
      <c r="H23" s="236"/>
      <c r="I23" s="98"/>
      <c r="J23" s="98"/>
      <c r="K23" s="98"/>
      <c r="L23" s="259"/>
      <c r="M23" s="235"/>
      <c r="N23" s="306"/>
    </row>
    <row r="24" spans="1:14" s="238" customFormat="1" ht="12">
      <c r="A24" s="344"/>
      <c r="B24" s="420" t="s">
        <v>18</v>
      </c>
      <c r="C24" s="236"/>
      <c r="D24" s="98">
        <v>550</v>
      </c>
      <c r="E24" s="98" t="s">
        <v>142</v>
      </c>
      <c r="F24" s="98" t="s">
        <v>145</v>
      </c>
      <c r="G24" s="259">
        <v>37055</v>
      </c>
      <c r="H24" s="236"/>
      <c r="I24" s="98">
        <v>550</v>
      </c>
      <c r="J24" s="98" t="s">
        <v>142</v>
      </c>
      <c r="K24" s="98" t="s">
        <v>145</v>
      </c>
      <c r="L24" s="259">
        <v>37055</v>
      </c>
      <c r="M24" s="235"/>
      <c r="N24" s="306"/>
    </row>
    <row r="25" spans="1:14" s="238" customFormat="1" ht="12">
      <c r="A25" s="344"/>
      <c r="B25" s="420" t="s">
        <v>18</v>
      </c>
      <c r="C25" s="236"/>
      <c r="D25" s="98">
        <v>256</v>
      </c>
      <c r="E25" s="98" t="s">
        <v>142</v>
      </c>
      <c r="F25" s="98" t="s">
        <v>145</v>
      </c>
      <c r="G25" s="259">
        <v>37029</v>
      </c>
      <c r="H25" s="236"/>
      <c r="I25" s="98">
        <v>256</v>
      </c>
      <c r="J25" s="98" t="s">
        <v>142</v>
      </c>
      <c r="K25" s="98" t="s">
        <v>145</v>
      </c>
      <c r="L25" s="259">
        <v>37029</v>
      </c>
      <c r="M25" s="235"/>
      <c r="N25" s="306"/>
    </row>
    <row r="26" spans="1:14" s="238" customFormat="1" ht="12">
      <c r="A26" s="344"/>
      <c r="B26" s="420" t="s">
        <v>18</v>
      </c>
      <c r="C26" s="236"/>
      <c r="D26" s="98">
        <v>1250</v>
      </c>
      <c r="E26" s="98" t="s">
        <v>142</v>
      </c>
      <c r="F26" s="98" t="s">
        <v>145</v>
      </c>
      <c r="G26" s="259">
        <v>37083</v>
      </c>
      <c r="H26" s="236"/>
      <c r="I26" s="98">
        <v>1250</v>
      </c>
      <c r="J26" s="98" t="s">
        <v>142</v>
      </c>
      <c r="K26" s="98" t="s">
        <v>145</v>
      </c>
      <c r="L26" s="259">
        <v>37083</v>
      </c>
      <c r="M26" s="235"/>
      <c r="N26" s="306"/>
    </row>
    <row r="27" spans="1:14" s="238" customFormat="1" ht="12">
      <c r="A27" s="344"/>
      <c r="B27" s="370"/>
      <c r="C27" s="236"/>
      <c r="D27" s="98"/>
      <c r="E27" s="98"/>
      <c r="F27" s="98"/>
      <c r="G27" s="98"/>
      <c r="H27" s="236"/>
      <c r="I27" s="98"/>
      <c r="J27" s="98"/>
      <c r="K27" s="98"/>
      <c r="L27" s="98"/>
      <c r="M27" s="235"/>
      <c r="N27" s="306"/>
    </row>
    <row r="28" spans="1:14" s="14" customFormat="1" ht="24" customHeight="1">
      <c r="A28" s="269"/>
      <c r="B28" s="294" t="s">
        <v>206</v>
      </c>
      <c r="C28" s="275"/>
      <c r="D28" s="271">
        <f>D7+D9</f>
        <v>3544</v>
      </c>
      <c r="E28" s="271"/>
      <c r="F28" s="271"/>
      <c r="G28" s="271"/>
      <c r="H28" s="280"/>
      <c r="I28" s="271">
        <f>I7+I9</f>
        <v>3544</v>
      </c>
      <c r="J28" s="271"/>
      <c r="K28" s="271"/>
      <c r="L28" s="271"/>
      <c r="M28" s="92"/>
      <c r="N28" s="347"/>
    </row>
    <row r="29" spans="2:14" s="48" customFormat="1" ht="12">
      <c r="B29" s="47"/>
      <c r="C29" s="78"/>
      <c r="D29" s="70"/>
      <c r="E29" s="45"/>
      <c r="F29" s="45"/>
      <c r="G29" s="45"/>
      <c r="H29" s="44"/>
      <c r="I29" s="70"/>
      <c r="J29" s="45"/>
      <c r="K29" s="45"/>
      <c r="L29" s="45"/>
      <c r="M29" s="44"/>
      <c r="N29" s="46"/>
    </row>
  </sheetData>
  <printOptions gridLines="1" horizontalCentered="1"/>
  <pageMargins left="0.3937007874015748" right="0.3937007874015748" top="0.5905511811023623" bottom="0.5905511811023623" header="0.5118110236220472" footer="0.31496062992125984"/>
  <pageSetup firstPageNumber="17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29">
      <selection activeCell="A1" sqref="A1:D1"/>
    </sheetView>
  </sheetViews>
  <sheetFormatPr defaultColWidth="9.140625" defaultRowHeight="12.75"/>
  <cols>
    <col min="1" max="1" width="4.28125" style="17" customWidth="1"/>
    <col min="2" max="2" width="50.00390625" style="47" customWidth="1"/>
    <col min="3" max="3" width="3.8515625" style="68" customWidth="1"/>
    <col min="4" max="4" width="8.140625" style="69" customWidth="1"/>
    <col min="5" max="7" width="9.8515625" style="8" customWidth="1"/>
    <col min="8" max="8" width="3.8515625" style="91" customWidth="1"/>
    <col min="9" max="9" width="8.140625" style="69" customWidth="1"/>
    <col min="10" max="10" width="8.28125" style="8" customWidth="1"/>
    <col min="11" max="11" width="9.28125" style="8" bestFit="1" customWidth="1"/>
    <col min="12" max="12" width="8.28125" style="8" customWidth="1"/>
    <col min="13" max="13" width="3.8515625" style="91" customWidth="1"/>
    <col min="14" max="14" width="26.003906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355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369"/>
    </row>
    <row r="5" spans="1:14" ht="39" customHeight="1">
      <c r="A5" s="112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3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20" customFormat="1" ht="27.75" customHeight="1">
      <c r="A7" s="354" t="s">
        <v>387</v>
      </c>
      <c r="B7" s="157"/>
      <c r="C7" s="243"/>
      <c r="D7" s="243">
        <f>SUM(D8:D23)</f>
        <v>3182</v>
      </c>
      <c r="E7" s="243"/>
      <c r="F7" s="243"/>
      <c r="G7" s="243"/>
      <c r="H7" s="236"/>
      <c r="I7" s="243">
        <f>SUM(I8:I23)</f>
        <v>1182</v>
      </c>
      <c r="J7" s="243"/>
      <c r="K7" s="243"/>
      <c r="L7" s="243"/>
      <c r="M7" s="235"/>
      <c r="N7" s="306"/>
    </row>
    <row r="8" spans="1:14" s="20" customFormat="1" ht="12">
      <c r="A8" s="344"/>
      <c r="B8" s="237" t="s">
        <v>73</v>
      </c>
      <c r="C8" s="64"/>
      <c r="D8" s="98">
        <v>2000</v>
      </c>
      <c r="E8" s="98" t="s">
        <v>155</v>
      </c>
      <c r="F8" s="98" t="s">
        <v>100</v>
      </c>
      <c r="G8" s="259">
        <v>37246</v>
      </c>
      <c r="H8" s="236"/>
      <c r="I8" s="98"/>
      <c r="J8" s="98"/>
      <c r="K8" s="98"/>
      <c r="L8" s="98"/>
      <c r="M8" s="235"/>
      <c r="N8" s="306"/>
    </row>
    <row r="9" spans="1:14" s="18" customFormat="1" ht="24">
      <c r="A9" s="372"/>
      <c r="B9" s="234" t="s">
        <v>255</v>
      </c>
      <c r="C9" s="373"/>
      <c r="D9" s="236">
        <v>132</v>
      </c>
      <c r="E9" s="236" t="s">
        <v>147</v>
      </c>
      <c r="F9" s="98" t="s">
        <v>145</v>
      </c>
      <c r="G9" s="259">
        <v>36923</v>
      </c>
      <c r="H9" s="153"/>
      <c r="I9" s="236">
        <v>132</v>
      </c>
      <c r="J9" s="236" t="s">
        <v>147</v>
      </c>
      <c r="K9" s="98" t="s">
        <v>145</v>
      </c>
      <c r="L9" s="259">
        <v>36923</v>
      </c>
      <c r="M9" s="156"/>
      <c r="N9" s="306"/>
    </row>
    <row r="10" spans="1:14" s="297" customFormat="1" ht="24">
      <c r="A10" s="344"/>
      <c r="B10" s="370" t="s">
        <v>234</v>
      </c>
      <c r="C10" s="64"/>
      <c r="D10" s="98">
        <v>300</v>
      </c>
      <c r="E10" s="98" t="s">
        <v>147</v>
      </c>
      <c r="F10" s="98" t="s">
        <v>145</v>
      </c>
      <c r="G10" s="259">
        <v>36983</v>
      </c>
      <c r="H10" s="236"/>
      <c r="I10" s="98">
        <v>300</v>
      </c>
      <c r="J10" s="98" t="s">
        <v>147</v>
      </c>
      <c r="K10" s="98" t="s">
        <v>145</v>
      </c>
      <c r="L10" s="259">
        <v>36983</v>
      </c>
      <c r="M10" s="235"/>
      <c r="N10" s="306" t="s">
        <v>281</v>
      </c>
    </row>
    <row r="11" spans="1:14" s="20" customFormat="1" ht="12">
      <c r="A11" s="155"/>
      <c r="B11" s="370" t="s">
        <v>152</v>
      </c>
      <c r="C11" s="66"/>
      <c r="D11" s="98">
        <v>75</v>
      </c>
      <c r="E11" s="98" t="s">
        <v>153</v>
      </c>
      <c r="F11" s="98" t="s">
        <v>145</v>
      </c>
      <c r="G11" s="259">
        <v>36918</v>
      </c>
      <c r="H11" s="236"/>
      <c r="I11" s="98">
        <v>75</v>
      </c>
      <c r="J11" s="98" t="s">
        <v>153</v>
      </c>
      <c r="K11" s="98" t="s">
        <v>145</v>
      </c>
      <c r="L11" s="259">
        <v>36918</v>
      </c>
      <c r="M11" s="235"/>
      <c r="N11" s="306" t="s">
        <v>156</v>
      </c>
    </row>
    <row r="12" spans="1:14" s="297" customFormat="1" ht="24">
      <c r="A12" s="272"/>
      <c r="B12" s="370" t="s">
        <v>29</v>
      </c>
      <c r="C12" s="419"/>
      <c r="D12" s="98">
        <v>250</v>
      </c>
      <c r="E12" s="98" t="s">
        <v>147</v>
      </c>
      <c r="F12" s="98" t="s">
        <v>145</v>
      </c>
      <c r="G12" s="259">
        <v>37054</v>
      </c>
      <c r="H12" s="236"/>
      <c r="I12" s="98">
        <v>250</v>
      </c>
      <c r="J12" s="98" t="s">
        <v>147</v>
      </c>
      <c r="K12" s="98" t="s">
        <v>145</v>
      </c>
      <c r="L12" s="259">
        <v>37054</v>
      </c>
      <c r="M12" s="235"/>
      <c r="N12" s="378" t="s">
        <v>30</v>
      </c>
    </row>
    <row r="13" spans="1:14" s="20" customFormat="1" ht="12">
      <c r="A13" s="155"/>
      <c r="B13" s="370" t="s">
        <v>189</v>
      </c>
      <c r="C13" s="66"/>
      <c r="D13" s="98">
        <v>4</v>
      </c>
      <c r="E13" s="98" t="s">
        <v>190</v>
      </c>
      <c r="F13" s="98" t="s">
        <v>145</v>
      </c>
      <c r="G13" s="259">
        <v>36972</v>
      </c>
      <c r="H13" s="236"/>
      <c r="I13" s="98">
        <v>4</v>
      </c>
      <c r="J13" s="98" t="s">
        <v>190</v>
      </c>
      <c r="K13" s="98" t="s">
        <v>145</v>
      </c>
      <c r="L13" s="259">
        <v>36972</v>
      </c>
      <c r="M13" s="235"/>
      <c r="N13" s="306"/>
    </row>
    <row r="14" spans="1:14" s="20" customFormat="1" ht="12">
      <c r="A14" s="155"/>
      <c r="B14" s="370" t="s">
        <v>273</v>
      </c>
      <c r="C14" s="66"/>
      <c r="D14" s="98">
        <v>5</v>
      </c>
      <c r="E14" s="98" t="s">
        <v>153</v>
      </c>
      <c r="F14" s="98" t="s">
        <v>145</v>
      </c>
      <c r="G14" s="259">
        <v>37007</v>
      </c>
      <c r="H14" s="236"/>
      <c r="I14" s="98">
        <v>5</v>
      </c>
      <c r="J14" s="98" t="s">
        <v>153</v>
      </c>
      <c r="K14" s="98" t="s">
        <v>145</v>
      </c>
      <c r="L14" s="259">
        <v>37007</v>
      </c>
      <c r="M14" s="235"/>
      <c r="N14" s="306" t="s">
        <v>156</v>
      </c>
    </row>
    <row r="15" spans="1:14" s="297" customFormat="1" ht="12">
      <c r="A15" s="344"/>
      <c r="B15" s="370" t="s">
        <v>282</v>
      </c>
      <c r="C15" s="64"/>
      <c r="D15" s="98">
        <v>100</v>
      </c>
      <c r="E15" s="98" t="s">
        <v>147</v>
      </c>
      <c r="F15" s="98" t="s">
        <v>145</v>
      </c>
      <c r="G15" s="259">
        <v>37173</v>
      </c>
      <c r="H15" s="236"/>
      <c r="I15" s="98">
        <v>100</v>
      </c>
      <c r="J15" s="98" t="s">
        <v>147</v>
      </c>
      <c r="K15" s="98" t="s">
        <v>145</v>
      </c>
      <c r="L15" s="259">
        <v>37173</v>
      </c>
      <c r="M15" s="235"/>
      <c r="N15" s="306" t="s">
        <v>281</v>
      </c>
    </row>
    <row r="16" spans="1:14" s="313" customFormat="1" ht="12">
      <c r="A16" s="344"/>
      <c r="B16" s="370" t="s">
        <v>268</v>
      </c>
      <c r="C16" s="64"/>
      <c r="D16" s="98">
        <v>50</v>
      </c>
      <c r="E16" s="98" t="s">
        <v>155</v>
      </c>
      <c r="F16" s="98" t="s">
        <v>145</v>
      </c>
      <c r="G16" s="259">
        <v>37021</v>
      </c>
      <c r="H16" s="236"/>
      <c r="I16" s="98">
        <v>50</v>
      </c>
      <c r="J16" s="98" t="s">
        <v>155</v>
      </c>
      <c r="K16" s="98" t="s">
        <v>145</v>
      </c>
      <c r="L16" s="259">
        <v>37021</v>
      </c>
      <c r="M16" s="235"/>
      <c r="N16" s="306" t="s">
        <v>156</v>
      </c>
    </row>
    <row r="17" spans="1:14" s="237" customFormat="1" ht="24">
      <c r="A17" s="344"/>
      <c r="B17" s="370" t="s">
        <v>328</v>
      </c>
      <c r="C17" s="64"/>
      <c r="D17" s="98">
        <v>17</v>
      </c>
      <c r="E17" s="98" t="s">
        <v>327</v>
      </c>
      <c r="F17" s="98" t="s">
        <v>145</v>
      </c>
      <c r="G17" s="259">
        <v>37134</v>
      </c>
      <c r="H17" s="236"/>
      <c r="I17" s="98">
        <v>17</v>
      </c>
      <c r="J17" s="98" t="s">
        <v>327</v>
      </c>
      <c r="K17" s="98" t="s">
        <v>145</v>
      </c>
      <c r="L17" s="259">
        <v>37134</v>
      </c>
      <c r="M17" s="235"/>
      <c r="N17" s="306"/>
    </row>
    <row r="18" spans="1:14" s="237" customFormat="1" ht="12">
      <c r="A18" s="344"/>
      <c r="B18" s="370"/>
      <c r="C18" s="64"/>
      <c r="D18" s="98">
        <v>9</v>
      </c>
      <c r="E18" s="98" t="s">
        <v>155</v>
      </c>
      <c r="F18" s="98"/>
      <c r="G18" s="259"/>
      <c r="H18" s="236"/>
      <c r="I18" s="98">
        <v>9</v>
      </c>
      <c r="J18" s="98" t="s">
        <v>155</v>
      </c>
      <c r="K18" s="98"/>
      <c r="L18" s="259"/>
      <c r="M18" s="235"/>
      <c r="N18" s="306" t="s">
        <v>156</v>
      </c>
    </row>
    <row r="19" spans="1:14" s="237" customFormat="1" ht="24">
      <c r="A19" s="344"/>
      <c r="B19" s="370" t="s">
        <v>329</v>
      </c>
      <c r="C19" s="64"/>
      <c r="D19" s="98">
        <v>28</v>
      </c>
      <c r="E19" s="98" t="s">
        <v>155</v>
      </c>
      <c r="F19" s="98" t="s">
        <v>145</v>
      </c>
      <c r="G19" s="259">
        <v>37112</v>
      </c>
      <c r="H19" s="236"/>
      <c r="I19" s="98">
        <v>28</v>
      </c>
      <c r="J19" s="98" t="s">
        <v>155</v>
      </c>
      <c r="K19" s="98" t="s">
        <v>145</v>
      </c>
      <c r="L19" s="259">
        <v>37112</v>
      </c>
      <c r="M19" s="235"/>
      <c r="N19" s="306" t="s">
        <v>156</v>
      </c>
    </row>
    <row r="20" spans="1:14" s="313" customFormat="1" ht="24">
      <c r="A20" s="344"/>
      <c r="B20" s="370" t="s">
        <v>269</v>
      </c>
      <c r="C20" s="64"/>
      <c r="D20" s="98">
        <v>157</v>
      </c>
      <c r="E20" s="98" t="s">
        <v>147</v>
      </c>
      <c r="F20" s="98" t="s">
        <v>145</v>
      </c>
      <c r="G20" s="259">
        <v>37022</v>
      </c>
      <c r="H20" s="236"/>
      <c r="I20" s="98">
        <v>157</v>
      </c>
      <c r="J20" s="98" t="s">
        <v>147</v>
      </c>
      <c r="K20" s="98" t="s">
        <v>145</v>
      </c>
      <c r="L20" s="259">
        <v>37022</v>
      </c>
      <c r="M20" s="235"/>
      <c r="N20" s="306" t="s">
        <v>270</v>
      </c>
    </row>
    <row r="21" spans="1:14" s="313" customFormat="1" ht="24">
      <c r="A21" s="344"/>
      <c r="B21" s="370" t="s">
        <v>271</v>
      </c>
      <c r="C21" s="64"/>
      <c r="D21" s="98">
        <v>8</v>
      </c>
      <c r="E21" s="98" t="s">
        <v>147</v>
      </c>
      <c r="F21" s="98" t="s">
        <v>145</v>
      </c>
      <c r="G21" s="259">
        <v>37025</v>
      </c>
      <c r="H21" s="236"/>
      <c r="I21" s="98">
        <v>8</v>
      </c>
      <c r="J21" s="98" t="s">
        <v>147</v>
      </c>
      <c r="K21" s="98" t="s">
        <v>145</v>
      </c>
      <c r="L21" s="259">
        <v>37025</v>
      </c>
      <c r="M21" s="235"/>
      <c r="N21" s="306"/>
    </row>
    <row r="22" spans="1:14" s="313" customFormat="1" ht="12">
      <c r="A22" s="344"/>
      <c r="B22" s="370" t="s">
        <v>99</v>
      </c>
      <c r="C22" s="64"/>
      <c r="D22" s="98">
        <v>11</v>
      </c>
      <c r="E22" s="98" t="s">
        <v>147</v>
      </c>
      <c r="F22" s="98" t="s">
        <v>145</v>
      </c>
      <c r="G22" s="259">
        <v>37238</v>
      </c>
      <c r="H22" s="236"/>
      <c r="I22" s="98">
        <v>11</v>
      </c>
      <c r="J22" s="98" t="s">
        <v>147</v>
      </c>
      <c r="K22" s="98" t="s">
        <v>145</v>
      </c>
      <c r="L22" s="259">
        <v>37238</v>
      </c>
      <c r="M22" s="235"/>
      <c r="N22" s="306"/>
    </row>
    <row r="23" spans="1:14" s="313" customFormat="1" ht="24">
      <c r="A23" s="344"/>
      <c r="B23" s="370" t="s">
        <v>101</v>
      </c>
      <c r="C23" s="64"/>
      <c r="D23" s="98">
        <v>36</v>
      </c>
      <c r="E23" s="98" t="s">
        <v>190</v>
      </c>
      <c r="F23" s="98" t="s">
        <v>145</v>
      </c>
      <c r="G23" s="259">
        <v>37165</v>
      </c>
      <c r="H23" s="236"/>
      <c r="I23" s="98">
        <v>36</v>
      </c>
      <c r="J23" s="98" t="s">
        <v>190</v>
      </c>
      <c r="K23" s="98" t="s">
        <v>145</v>
      </c>
      <c r="L23" s="259">
        <v>37165</v>
      </c>
      <c r="M23" s="235"/>
      <c r="N23" s="306"/>
    </row>
    <row r="24" spans="1:14" s="20" customFormat="1" ht="24.75" customHeight="1">
      <c r="A24" s="354" t="s">
        <v>388</v>
      </c>
      <c r="B24" s="157"/>
      <c r="C24" s="64"/>
      <c r="D24" s="243">
        <f>SUM(D25:D27)</f>
        <v>2008</v>
      </c>
      <c r="E24" s="243"/>
      <c r="F24" s="243"/>
      <c r="G24" s="243"/>
      <c r="H24" s="236"/>
      <c r="I24" s="243">
        <f>SUM(I25:I27)</f>
        <v>2008</v>
      </c>
      <c r="J24" s="243"/>
      <c r="K24" s="243"/>
      <c r="L24" s="243"/>
      <c r="M24" s="235"/>
      <c r="N24" s="306"/>
    </row>
    <row r="25" spans="1:14" s="20" customFormat="1" ht="24">
      <c r="A25" s="155"/>
      <c r="B25" s="370" t="s">
        <v>126</v>
      </c>
      <c r="C25" s="64"/>
      <c r="D25" s="98">
        <v>1500</v>
      </c>
      <c r="E25" s="555" t="s">
        <v>140</v>
      </c>
      <c r="F25" s="556"/>
      <c r="G25" s="557"/>
      <c r="H25" s="236"/>
      <c r="I25" s="98">
        <v>1500</v>
      </c>
      <c r="J25" s="98" t="s">
        <v>155</v>
      </c>
      <c r="K25" s="98" t="s">
        <v>239</v>
      </c>
      <c r="L25" s="259">
        <v>37015</v>
      </c>
      <c r="M25" s="235"/>
      <c r="N25" s="306"/>
    </row>
    <row r="26" spans="1:14" s="237" customFormat="1" ht="24">
      <c r="A26" s="155"/>
      <c r="B26" s="370" t="s">
        <v>121</v>
      </c>
      <c r="C26" s="64"/>
      <c r="D26" s="98">
        <v>500</v>
      </c>
      <c r="E26" s="98" t="s">
        <v>155</v>
      </c>
      <c r="F26" s="98" t="s">
        <v>145</v>
      </c>
      <c r="G26" s="259">
        <v>37112</v>
      </c>
      <c r="H26" s="236"/>
      <c r="I26" s="98">
        <v>500</v>
      </c>
      <c r="J26" s="98" t="s">
        <v>155</v>
      </c>
      <c r="K26" s="98" t="s">
        <v>335</v>
      </c>
      <c r="L26" s="259">
        <v>37235</v>
      </c>
      <c r="M26" s="235"/>
      <c r="N26" s="306"/>
    </row>
    <row r="27" spans="1:14" s="237" customFormat="1" ht="24">
      <c r="A27" s="155"/>
      <c r="B27" s="370" t="s">
        <v>26</v>
      </c>
      <c r="C27" s="64"/>
      <c r="D27" s="98">
        <v>8</v>
      </c>
      <c r="E27" s="98" t="s">
        <v>142</v>
      </c>
      <c r="F27" s="98" t="s">
        <v>145</v>
      </c>
      <c r="G27" s="259">
        <v>37053</v>
      </c>
      <c r="H27" s="236"/>
      <c r="I27" s="98">
        <v>8</v>
      </c>
      <c r="J27" s="98" t="s">
        <v>142</v>
      </c>
      <c r="K27" s="98" t="s">
        <v>145</v>
      </c>
      <c r="L27" s="259">
        <v>37053</v>
      </c>
      <c r="M27" s="235"/>
      <c r="N27" s="306"/>
    </row>
    <row r="28" spans="1:14" s="157" customFormat="1" ht="24.75" customHeight="1">
      <c r="A28" s="354" t="s">
        <v>389</v>
      </c>
      <c r="C28" s="64"/>
      <c r="D28" s="243">
        <f>SUM(D29:D30)</f>
        <v>247</v>
      </c>
      <c r="E28" s="243"/>
      <c r="F28" s="243"/>
      <c r="G28" s="243"/>
      <c r="H28" s="153"/>
      <c r="I28" s="243">
        <f>SUM(I29:I30)</f>
        <v>247</v>
      </c>
      <c r="J28" s="243"/>
      <c r="K28" s="243"/>
      <c r="L28" s="243"/>
      <c r="M28" s="156"/>
      <c r="N28" s="306"/>
    </row>
    <row r="29" spans="1:14" s="237" customFormat="1" ht="24">
      <c r="A29" s="155"/>
      <c r="B29" s="234" t="s">
        <v>28</v>
      </c>
      <c r="C29" s="64"/>
      <c r="D29" s="98">
        <v>47</v>
      </c>
      <c r="E29" s="98" t="s">
        <v>155</v>
      </c>
      <c r="F29" s="98" t="s">
        <v>145</v>
      </c>
      <c r="G29" s="259">
        <v>37053</v>
      </c>
      <c r="H29" s="236"/>
      <c r="I29" s="98">
        <v>47</v>
      </c>
      <c r="J29" s="98" t="s">
        <v>155</v>
      </c>
      <c r="K29" s="98" t="s">
        <v>145</v>
      </c>
      <c r="L29" s="259">
        <v>37053</v>
      </c>
      <c r="M29" s="235"/>
      <c r="N29" s="329" t="s">
        <v>316</v>
      </c>
    </row>
    <row r="30" spans="1:14" s="20" customFormat="1" ht="36">
      <c r="A30" s="155"/>
      <c r="B30" s="234" t="s">
        <v>407</v>
      </c>
      <c r="C30" s="64"/>
      <c r="D30" s="98">
        <v>200</v>
      </c>
      <c r="E30" s="98" t="s">
        <v>147</v>
      </c>
      <c r="F30" s="98" t="s">
        <v>145</v>
      </c>
      <c r="G30" s="259">
        <v>37103</v>
      </c>
      <c r="H30" s="236"/>
      <c r="I30" s="98">
        <v>200</v>
      </c>
      <c r="J30" s="98" t="s">
        <v>147</v>
      </c>
      <c r="K30" s="98" t="s">
        <v>145</v>
      </c>
      <c r="L30" s="259">
        <v>37103</v>
      </c>
      <c r="M30" s="235"/>
      <c r="N30" s="371" t="s">
        <v>428</v>
      </c>
    </row>
    <row r="31" spans="1:14" s="20" customFormat="1" ht="12">
      <c r="A31" s="155"/>
      <c r="B31" s="234"/>
      <c r="C31" s="64"/>
      <c r="D31" s="98"/>
      <c r="E31" s="98"/>
      <c r="F31" s="98"/>
      <c r="G31" s="259"/>
      <c r="H31" s="236"/>
      <c r="I31" s="98"/>
      <c r="J31" s="98"/>
      <c r="K31" s="98"/>
      <c r="L31" s="259"/>
      <c r="M31" s="235"/>
      <c r="N31" s="371"/>
    </row>
    <row r="32" spans="1:14" s="14" customFormat="1" ht="22.5" customHeight="1">
      <c r="A32" s="269"/>
      <c r="B32" s="294" t="s">
        <v>206</v>
      </c>
      <c r="C32" s="275"/>
      <c r="D32" s="274">
        <f>D7+D28+D24</f>
        <v>5437</v>
      </c>
      <c r="E32" s="274"/>
      <c r="F32" s="274"/>
      <c r="G32" s="274"/>
      <c r="H32" s="276"/>
      <c r="I32" s="274">
        <f>I7+I28+I24</f>
        <v>3437</v>
      </c>
      <c r="J32" s="274"/>
      <c r="K32" s="274"/>
      <c r="L32" s="274"/>
      <c r="M32" s="93"/>
      <c r="N32" s="347"/>
    </row>
    <row r="34" ht="12">
      <c r="B34" s="244"/>
    </row>
    <row r="36" spans="1:2" ht="12.75">
      <c r="A36" s="227"/>
      <c r="B36" s="345"/>
    </row>
  </sheetData>
  <mergeCells count="1">
    <mergeCell ref="E25:G25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18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140625" style="69" customWidth="1"/>
    <col min="5" max="7" width="9.8515625" style="8" customWidth="1"/>
    <col min="8" max="8" width="3.8515625" style="91" customWidth="1"/>
    <col min="9" max="9" width="7.57421875" style="69" bestFit="1" customWidth="1"/>
    <col min="10" max="12" width="9.8515625" style="8" customWidth="1"/>
    <col min="13" max="13" width="3.8515625" style="91" customWidth="1"/>
    <col min="14" max="14" width="30.57421875" style="34" customWidth="1"/>
    <col min="15" max="23" width="9.140625" style="335" customWidth="1"/>
    <col min="24" max="16384" width="9.140625" style="3" customWidth="1"/>
  </cols>
  <sheetData>
    <row r="1" spans="1:23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  <c r="O1" s="335"/>
      <c r="P1" s="335"/>
      <c r="Q1" s="335"/>
      <c r="R1" s="335"/>
      <c r="S1" s="335"/>
      <c r="T1" s="335"/>
      <c r="U1" s="335"/>
      <c r="V1" s="335"/>
      <c r="W1" s="335"/>
    </row>
    <row r="2" spans="1:23" s="1" customFormat="1" ht="19.5">
      <c r="A2" s="262" t="s">
        <v>357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  <c r="O2" s="335"/>
      <c r="P2" s="335"/>
      <c r="Q2" s="335"/>
      <c r="R2" s="335"/>
      <c r="S2" s="335"/>
      <c r="T2" s="335"/>
      <c r="U2" s="335"/>
      <c r="V2" s="335"/>
      <c r="W2" s="335"/>
    </row>
    <row r="3" spans="1:23" s="2" customFormat="1" ht="12.75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  <c r="O3" s="335"/>
      <c r="P3" s="335"/>
      <c r="Q3" s="335"/>
      <c r="R3" s="335"/>
      <c r="S3" s="335"/>
      <c r="T3" s="335"/>
      <c r="U3" s="335"/>
      <c r="V3" s="335"/>
      <c r="W3" s="335"/>
    </row>
    <row r="4" spans="1:23" s="132" customFormat="1" ht="15.75">
      <c r="A4" s="128"/>
      <c r="B4" s="129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30"/>
      <c r="N4" s="131"/>
      <c r="O4" s="445"/>
      <c r="P4" s="445"/>
      <c r="Q4" s="445"/>
      <c r="R4" s="445"/>
      <c r="S4" s="445"/>
      <c r="T4" s="445"/>
      <c r="U4" s="445"/>
      <c r="V4" s="445"/>
      <c r="W4" s="445"/>
    </row>
    <row r="5" spans="1:14" ht="39" customHeight="1">
      <c r="A5" s="99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23" s="17" customFormat="1" ht="12.75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9"/>
      <c r="N6" s="96"/>
      <c r="O6" s="335"/>
      <c r="P6" s="335"/>
      <c r="Q6" s="335"/>
      <c r="R6" s="335"/>
      <c r="S6" s="335"/>
      <c r="T6" s="335"/>
      <c r="U6" s="335"/>
      <c r="V6" s="335"/>
      <c r="W6" s="335"/>
    </row>
    <row r="7" spans="1:23" s="20" customFormat="1" ht="24" customHeight="1">
      <c r="A7" s="56" t="s">
        <v>391</v>
      </c>
      <c r="B7" s="39"/>
      <c r="C7" s="64"/>
      <c r="D7" s="243">
        <f>SUM(D8:D8)</f>
        <v>3</v>
      </c>
      <c r="E7" s="243"/>
      <c r="F7" s="243"/>
      <c r="G7" s="243"/>
      <c r="H7" s="49"/>
      <c r="I7" s="243">
        <f>SUM(I8:I8)</f>
        <v>3</v>
      </c>
      <c r="J7" s="243"/>
      <c r="K7" s="243"/>
      <c r="L7" s="243"/>
      <c r="M7" s="49"/>
      <c r="N7" s="346"/>
      <c r="O7" s="261"/>
      <c r="P7" s="261"/>
      <c r="Q7" s="261"/>
      <c r="R7" s="261"/>
      <c r="S7" s="261"/>
      <c r="T7" s="261"/>
      <c r="U7" s="261"/>
      <c r="V7" s="261"/>
      <c r="W7" s="261"/>
    </row>
    <row r="8" spans="1:23" s="20" customFormat="1" ht="12.75">
      <c r="A8" s="56"/>
      <c r="B8" s="39" t="s">
        <v>102</v>
      </c>
      <c r="C8" s="78"/>
      <c r="D8" s="98">
        <v>3</v>
      </c>
      <c r="E8" s="98" t="s">
        <v>155</v>
      </c>
      <c r="F8" s="235" t="s">
        <v>145</v>
      </c>
      <c r="G8" s="259">
        <v>37235</v>
      </c>
      <c r="H8" s="44"/>
      <c r="I8" s="98">
        <v>3</v>
      </c>
      <c r="J8" s="98" t="s">
        <v>155</v>
      </c>
      <c r="K8" s="235" t="s">
        <v>145</v>
      </c>
      <c r="L8" s="259">
        <v>37235</v>
      </c>
      <c r="M8" s="49"/>
      <c r="N8" s="350" t="s">
        <v>195</v>
      </c>
      <c r="O8" s="261"/>
      <c r="P8" s="261"/>
      <c r="Q8" s="261"/>
      <c r="R8" s="261"/>
      <c r="S8" s="261"/>
      <c r="T8" s="261"/>
      <c r="U8" s="261"/>
      <c r="V8" s="261"/>
      <c r="W8" s="261"/>
    </row>
    <row r="9" spans="1:23" s="42" customFormat="1" ht="24.75" customHeight="1">
      <c r="A9" s="56" t="s">
        <v>392</v>
      </c>
      <c r="B9" s="353"/>
      <c r="C9" s="64"/>
      <c r="D9" s="243">
        <f>SUM(D10:D12)</f>
        <v>387</v>
      </c>
      <c r="E9" s="243"/>
      <c r="F9" s="243"/>
      <c r="G9" s="243"/>
      <c r="H9" s="94"/>
      <c r="I9" s="243">
        <f>SUM(I10:I12)</f>
        <v>387</v>
      </c>
      <c r="J9" s="243"/>
      <c r="K9" s="243"/>
      <c r="L9" s="243"/>
      <c r="M9" s="94"/>
      <c r="N9" s="346"/>
      <c r="O9" s="359"/>
      <c r="P9" s="359"/>
      <c r="Q9" s="359"/>
      <c r="R9" s="359"/>
      <c r="S9" s="359"/>
      <c r="T9" s="359"/>
      <c r="U9" s="359"/>
      <c r="V9" s="359"/>
      <c r="W9" s="359"/>
    </row>
    <row r="10" spans="1:14" s="238" customFormat="1" ht="24">
      <c r="A10" s="155"/>
      <c r="B10" s="240" t="s">
        <v>253</v>
      </c>
      <c r="C10" s="64"/>
      <c r="D10" s="98">
        <v>300</v>
      </c>
      <c r="E10" s="98" t="s">
        <v>155</v>
      </c>
      <c r="F10" s="98" t="s">
        <v>145</v>
      </c>
      <c r="G10" s="259">
        <v>36973</v>
      </c>
      <c r="H10" s="236"/>
      <c r="I10" s="98">
        <v>300</v>
      </c>
      <c r="J10" s="98" t="s">
        <v>155</v>
      </c>
      <c r="K10" s="98" t="s">
        <v>239</v>
      </c>
      <c r="L10" s="259">
        <v>37015</v>
      </c>
      <c r="M10" s="235"/>
      <c r="N10" s="306"/>
    </row>
    <row r="11" spans="1:23" s="298" customFormat="1" ht="36">
      <c r="A11" s="360"/>
      <c r="B11" s="361" t="s">
        <v>237</v>
      </c>
      <c r="C11" s="64"/>
      <c r="D11" s="98">
        <v>39</v>
      </c>
      <c r="E11" s="98" t="s">
        <v>142</v>
      </c>
      <c r="F11" s="98" t="s">
        <v>145</v>
      </c>
      <c r="G11" s="259">
        <v>36980</v>
      </c>
      <c r="H11" s="153"/>
      <c r="I11" s="98">
        <v>39</v>
      </c>
      <c r="J11" s="98" t="s">
        <v>142</v>
      </c>
      <c r="K11" s="98" t="s">
        <v>145</v>
      </c>
      <c r="L11" s="259">
        <v>36980</v>
      </c>
      <c r="M11" s="362"/>
      <c r="N11" s="363"/>
      <c r="O11" s="364"/>
      <c r="P11" s="364"/>
      <c r="Q11" s="364"/>
      <c r="R11" s="364"/>
      <c r="S11" s="364"/>
      <c r="T11" s="364"/>
      <c r="U11" s="364"/>
      <c r="V11" s="364"/>
      <c r="W11" s="364"/>
    </row>
    <row r="12" spans="1:23" s="48" customFormat="1" ht="36">
      <c r="A12" s="56"/>
      <c r="B12" s="361" t="s">
        <v>176</v>
      </c>
      <c r="C12" s="64"/>
      <c r="D12" s="98">
        <v>48</v>
      </c>
      <c r="E12" s="98" t="s">
        <v>155</v>
      </c>
      <c r="F12" s="98" t="s">
        <v>145</v>
      </c>
      <c r="G12" s="259">
        <v>36934</v>
      </c>
      <c r="H12" s="153"/>
      <c r="I12" s="98">
        <v>48</v>
      </c>
      <c r="J12" s="98" t="s">
        <v>155</v>
      </c>
      <c r="K12" s="98" t="s">
        <v>145</v>
      </c>
      <c r="L12" s="259">
        <v>36934</v>
      </c>
      <c r="M12" s="94"/>
      <c r="N12" s="346" t="s">
        <v>156</v>
      </c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23" s="42" customFormat="1" ht="24.75" customHeight="1">
      <c r="A13" s="155" t="s">
        <v>393</v>
      </c>
      <c r="B13" s="339"/>
      <c r="C13" s="64"/>
      <c r="D13" s="243">
        <f>SUM(D14)</f>
        <v>215</v>
      </c>
      <c r="E13" s="243"/>
      <c r="F13" s="243"/>
      <c r="G13" s="243"/>
      <c r="H13" s="153"/>
      <c r="I13" s="243">
        <f>SUM(I14)</f>
        <v>215</v>
      </c>
      <c r="J13" s="243"/>
      <c r="K13" s="243"/>
      <c r="L13" s="243"/>
      <c r="M13" s="94"/>
      <c r="N13" s="346"/>
      <c r="O13" s="359"/>
      <c r="P13" s="359"/>
      <c r="Q13" s="359"/>
      <c r="R13" s="359"/>
      <c r="S13" s="359"/>
      <c r="T13" s="359"/>
      <c r="U13" s="359"/>
      <c r="V13" s="359"/>
      <c r="W13" s="359"/>
    </row>
    <row r="14" spans="1:23" s="48" customFormat="1" ht="36">
      <c r="A14" s="155"/>
      <c r="B14" s="365" t="s">
        <v>340</v>
      </c>
      <c r="C14" s="64"/>
      <c r="D14" s="98">
        <v>215</v>
      </c>
      <c r="E14" s="98" t="s">
        <v>155</v>
      </c>
      <c r="F14" s="98" t="s">
        <v>145</v>
      </c>
      <c r="G14" s="259">
        <v>37235</v>
      </c>
      <c r="H14" s="153"/>
      <c r="I14" s="98">
        <v>215</v>
      </c>
      <c r="J14" s="98" t="s">
        <v>155</v>
      </c>
      <c r="K14" s="98" t="s">
        <v>145</v>
      </c>
      <c r="L14" s="259">
        <v>37235</v>
      </c>
      <c r="M14" s="94"/>
      <c r="N14" s="346" t="s">
        <v>316</v>
      </c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23" s="42" customFormat="1" ht="24.75" customHeight="1">
      <c r="A15" s="155" t="s">
        <v>394</v>
      </c>
      <c r="B15" s="339"/>
      <c r="C15" s="64"/>
      <c r="D15" s="243">
        <f>SUM(D16)</f>
        <v>17</v>
      </c>
      <c r="E15" s="243"/>
      <c r="F15" s="243"/>
      <c r="G15" s="243"/>
      <c r="H15" s="153"/>
      <c r="I15" s="243">
        <f>SUM(I16)</f>
        <v>17</v>
      </c>
      <c r="J15" s="243"/>
      <c r="K15" s="243"/>
      <c r="L15" s="243"/>
      <c r="M15" s="94"/>
      <c r="N15" s="346"/>
      <c r="O15" s="359"/>
      <c r="P15" s="359"/>
      <c r="Q15" s="359"/>
      <c r="R15" s="359"/>
      <c r="S15" s="359"/>
      <c r="T15" s="359"/>
      <c r="U15" s="359"/>
      <c r="V15" s="359"/>
      <c r="W15" s="359"/>
    </row>
    <row r="16" spans="1:23" s="48" customFormat="1" ht="24">
      <c r="A16" s="155"/>
      <c r="B16" s="365" t="s">
        <v>223</v>
      </c>
      <c r="C16" s="64"/>
      <c r="D16" s="98">
        <v>17</v>
      </c>
      <c r="E16" s="98" t="s">
        <v>142</v>
      </c>
      <c r="F16" s="98" t="s">
        <v>145</v>
      </c>
      <c r="G16" s="259">
        <v>36998</v>
      </c>
      <c r="H16" s="153"/>
      <c r="I16" s="98">
        <v>17</v>
      </c>
      <c r="J16" s="98" t="s">
        <v>142</v>
      </c>
      <c r="K16" s="98" t="s">
        <v>145</v>
      </c>
      <c r="L16" s="259">
        <v>36998</v>
      </c>
      <c r="M16" s="94"/>
      <c r="N16" s="346"/>
      <c r="O16" s="261"/>
      <c r="P16" s="261"/>
      <c r="Q16" s="261"/>
      <c r="R16" s="261"/>
      <c r="S16" s="261"/>
      <c r="T16" s="261"/>
      <c r="U16" s="261"/>
      <c r="V16" s="261"/>
      <c r="W16" s="261"/>
    </row>
    <row r="17" spans="1:23" s="48" customFormat="1" ht="12.75">
      <c r="A17" s="56"/>
      <c r="B17" s="366"/>
      <c r="C17" s="64"/>
      <c r="D17" s="98"/>
      <c r="E17" s="98"/>
      <c r="F17" s="98"/>
      <c r="G17" s="259"/>
      <c r="H17" s="94"/>
      <c r="I17" s="98"/>
      <c r="J17" s="98"/>
      <c r="K17" s="98"/>
      <c r="L17" s="259"/>
      <c r="M17" s="94"/>
      <c r="N17" s="346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23" s="52" customFormat="1" ht="24" customHeight="1">
      <c r="A18" s="283"/>
      <c r="B18" s="293" t="s">
        <v>206</v>
      </c>
      <c r="C18" s="275"/>
      <c r="D18" s="271">
        <f>+D15+D13+D9+D7</f>
        <v>622</v>
      </c>
      <c r="E18" s="271"/>
      <c r="F18" s="271"/>
      <c r="G18" s="271"/>
      <c r="H18" s="280"/>
      <c r="I18" s="271">
        <f>+I15+I13+I9+I7</f>
        <v>622</v>
      </c>
      <c r="J18" s="271"/>
      <c r="K18" s="271"/>
      <c r="L18" s="271"/>
      <c r="M18" s="90"/>
      <c r="N18" s="347"/>
      <c r="O18" s="367"/>
      <c r="P18" s="367"/>
      <c r="Q18" s="367"/>
      <c r="R18" s="367"/>
      <c r="S18" s="367"/>
      <c r="T18" s="367"/>
      <c r="U18" s="367"/>
      <c r="V18" s="367"/>
      <c r="W18" s="367"/>
    </row>
    <row r="19" spans="2:23" s="48" customFormat="1" ht="12.75" customHeight="1">
      <c r="B19" s="53"/>
      <c r="C19" s="78"/>
      <c r="D19" s="70"/>
      <c r="E19" s="45"/>
      <c r="F19" s="45"/>
      <c r="G19" s="45"/>
      <c r="H19" s="44"/>
      <c r="I19" s="70"/>
      <c r="J19" s="45"/>
      <c r="K19" s="45"/>
      <c r="L19" s="45"/>
      <c r="M19" s="44"/>
      <c r="N19" s="46"/>
      <c r="O19" s="261"/>
      <c r="P19" s="261"/>
      <c r="Q19" s="261"/>
      <c r="R19" s="261"/>
      <c r="S19" s="261"/>
      <c r="T19" s="261"/>
      <c r="U19" s="261"/>
      <c r="V19" s="261"/>
      <c r="W19" s="261"/>
    </row>
    <row r="20" spans="2:23" s="48" customFormat="1" ht="12.75" customHeight="1">
      <c r="B20" s="21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  <c r="O20" s="261"/>
      <c r="P20" s="261"/>
      <c r="Q20" s="261"/>
      <c r="R20" s="261"/>
      <c r="S20" s="261"/>
      <c r="T20" s="261"/>
      <c r="U20" s="261"/>
      <c r="V20" s="261"/>
      <c r="W20" s="261"/>
    </row>
    <row r="21" spans="2:23" s="152" customFormat="1" ht="12.75">
      <c r="B21" s="216" t="s">
        <v>404</v>
      </c>
      <c r="C21" s="214"/>
      <c r="D21" s="70"/>
      <c r="E21" s="217"/>
      <c r="F21" s="217"/>
      <c r="G21" s="217"/>
      <c r="H21" s="218"/>
      <c r="I21" s="70"/>
      <c r="J21" s="217"/>
      <c r="K21" s="217"/>
      <c r="L21" s="217"/>
      <c r="M21" s="218"/>
      <c r="N21" s="217"/>
      <c r="O21" s="359"/>
      <c r="P21" s="359"/>
      <c r="Q21" s="359"/>
      <c r="R21" s="359"/>
      <c r="S21" s="359"/>
      <c r="T21" s="359"/>
      <c r="U21" s="359"/>
      <c r="V21" s="359"/>
      <c r="W21" s="359"/>
    </row>
    <row r="22" spans="2:23" s="152" customFormat="1" ht="12.75">
      <c r="B22" s="219"/>
      <c r="C22" s="214"/>
      <c r="D22" s="70"/>
      <c r="E22" s="217"/>
      <c r="F22" s="217"/>
      <c r="G22" s="217"/>
      <c r="H22" s="218"/>
      <c r="I22" s="70"/>
      <c r="J22" s="217"/>
      <c r="K22" s="217"/>
      <c r="L22" s="217"/>
      <c r="M22" s="218"/>
      <c r="N22" s="217"/>
      <c r="O22" s="359"/>
      <c r="P22" s="359"/>
      <c r="Q22" s="359"/>
      <c r="R22" s="359"/>
      <c r="S22" s="359"/>
      <c r="T22" s="359"/>
      <c r="U22" s="359"/>
      <c r="V22" s="359"/>
      <c r="W22" s="359"/>
    </row>
    <row r="23" spans="1:23" s="222" customFormat="1" ht="12.75">
      <c r="A23" s="14"/>
      <c r="B23" s="219"/>
      <c r="C23" s="215"/>
      <c r="D23" s="69"/>
      <c r="E23" s="220"/>
      <c r="F23" s="220"/>
      <c r="G23" s="220"/>
      <c r="H23" s="221"/>
      <c r="I23" s="69"/>
      <c r="J23" s="220"/>
      <c r="K23" s="220"/>
      <c r="L23" s="220"/>
      <c r="M23" s="221"/>
      <c r="N23" s="220"/>
      <c r="O23" s="368"/>
      <c r="P23" s="368"/>
      <c r="Q23" s="368"/>
      <c r="R23" s="368"/>
      <c r="S23" s="368"/>
      <c r="T23" s="368"/>
      <c r="U23" s="368"/>
      <c r="V23" s="368"/>
      <c r="W23" s="368"/>
    </row>
    <row r="24" spans="1:23" s="222" customFormat="1" ht="12.75">
      <c r="A24" s="14"/>
      <c r="B24" s="219"/>
      <c r="C24" s="215"/>
      <c r="D24" s="69"/>
      <c r="E24" s="220"/>
      <c r="F24" s="220"/>
      <c r="G24" s="220"/>
      <c r="H24" s="221"/>
      <c r="I24" s="69"/>
      <c r="J24" s="220"/>
      <c r="K24" s="220"/>
      <c r="L24" s="220"/>
      <c r="M24" s="221"/>
      <c r="N24" s="220"/>
      <c r="O24" s="368"/>
      <c r="P24" s="368"/>
      <c r="Q24" s="368"/>
      <c r="R24" s="368"/>
      <c r="S24" s="368"/>
      <c r="T24" s="368"/>
      <c r="U24" s="368"/>
      <c r="V24" s="368"/>
      <c r="W24" s="368"/>
    </row>
  </sheetData>
  <printOptions gridLines="1" horizontalCentered="1"/>
  <pageMargins left="0.3937007874015748" right="0.3937007874015748" top="0.5905511811023623" bottom="0.5905511811023623" header="0.5118110236220472" footer="0.31496062992125984"/>
  <pageSetup firstPageNumber="19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40.28125" style="53" customWidth="1"/>
    <col min="3" max="3" width="3.8515625" style="68" customWidth="1"/>
    <col min="4" max="4" width="8.140625" style="69" bestFit="1" customWidth="1"/>
    <col min="5" max="7" width="9.8515625" style="8" customWidth="1"/>
    <col min="8" max="8" width="3.8515625" style="91" customWidth="1"/>
    <col min="9" max="9" width="7.57421875" style="69" bestFit="1" customWidth="1"/>
    <col min="10" max="12" width="9.85156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358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33"/>
    </row>
    <row r="5" spans="1:14" ht="39" customHeight="1">
      <c r="A5" s="99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42" customFormat="1" ht="24.75" customHeight="1">
      <c r="A7" s="56" t="s">
        <v>390</v>
      </c>
      <c r="B7" s="353"/>
      <c r="C7" s="64"/>
      <c r="D7" s="243">
        <f>SUM(D8:D8)</f>
        <v>960</v>
      </c>
      <c r="E7" s="243"/>
      <c r="F7" s="243"/>
      <c r="G7" s="243"/>
      <c r="H7" s="94"/>
      <c r="I7" s="243">
        <f>SUM(I8:I8)</f>
        <v>0</v>
      </c>
      <c r="J7" s="243"/>
      <c r="K7" s="243"/>
      <c r="L7" s="243"/>
      <c r="M7" s="82"/>
      <c r="N7" s="346"/>
    </row>
    <row r="8" spans="1:14" s="238" customFormat="1" ht="24">
      <c r="A8" s="155"/>
      <c r="B8" s="240" t="s">
        <v>257</v>
      </c>
      <c r="C8" s="64"/>
      <c r="D8" s="98">
        <v>960</v>
      </c>
      <c r="E8" s="98" t="s">
        <v>155</v>
      </c>
      <c r="F8" s="98" t="s">
        <v>145</v>
      </c>
      <c r="G8" s="259">
        <v>37173</v>
      </c>
      <c r="H8" s="236"/>
      <c r="I8" s="98"/>
      <c r="J8" s="98"/>
      <c r="K8" s="98"/>
      <c r="L8" s="98"/>
      <c r="M8" s="235"/>
      <c r="N8" s="306"/>
    </row>
    <row r="9" spans="1:14" s="238" customFormat="1" ht="20.25" customHeight="1">
      <c r="A9" s="155" t="s">
        <v>98</v>
      </c>
      <c r="B9" s="300"/>
      <c r="C9" s="64"/>
      <c r="D9" s="243">
        <f>SUM(D10:D10)</f>
        <v>9</v>
      </c>
      <c r="E9" s="243"/>
      <c r="F9" s="243"/>
      <c r="G9" s="243"/>
      <c r="H9" s="236"/>
      <c r="I9" s="243">
        <f>SUM(I10:I10)</f>
        <v>9</v>
      </c>
      <c r="J9" s="243"/>
      <c r="K9" s="243"/>
      <c r="L9" s="243"/>
      <c r="M9" s="235"/>
      <c r="N9" s="306"/>
    </row>
    <row r="10" spans="1:14" s="238" customFormat="1" ht="24">
      <c r="A10" s="155"/>
      <c r="B10" s="300" t="s">
        <v>274</v>
      </c>
      <c r="C10" s="64"/>
      <c r="D10" s="98">
        <v>9</v>
      </c>
      <c r="E10" s="344" t="s">
        <v>142</v>
      </c>
      <c r="F10" s="98" t="s">
        <v>145</v>
      </c>
      <c r="G10" s="259">
        <v>37126</v>
      </c>
      <c r="H10" s="236"/>
      <c r="I10" s="98">
        <v>9</v>
      </c>
      <c r="J10" s="344" t="s">
        <v>142</v>
      </c>
      <c r="K10" s="98" t="s">
        <v>145</v>
      </c>
      <c r="L10" s="259">
        <v>37126</v>
      </c>
      <c r="M10" s="235"/>
      <c r="N10" s="306" t="s">
        <v>156</v>
      </c>
    </row>
    <row r="11" spans="1:14" s="238" customFormat="1" ht="20.25" customHeight="1">
      <c r="A11" s="155" t="s">
        <v>393</v>
      </c>
      <c r="B11" s="300"/>
      <c r="C11" s="64"/>
      <c r="D11" s="243">
        <f>SUM(D12:D13)</f>
        <v>256</v>
      </c>
      <c r="E11" s="243"/>
      <c r="F11" s="243"/>
      <c r="G11" s="243"/>
      <c r="H11" s="236"/>
      <c r="I11" s="243">
        <f>SUM(I12:I13)</f>
        <v>256</v>
      </c>
      <c r="J11" s="243"/>
      <c r="K11" s="243"/>
      <c r="L11" s="243"/>
      <c r="M11" s="235"/>
      <c r="N11" s="306"/>
    </row>
    <row r="12" spans="1:14" s="238" customFormat="1" ht="24">
      <c r="A12" s="155"/>
      <c r="B12" s="300" t="s">
        <v>264</v>
      </c>
      <c r="C12" s="64"/>
      <c r="D12" s="98">
        <v>239</v>
      </c>
      <c r="E12" s="344" t="s">
        <v>147</v>
      </c>
      <c r="F12" s="98" t="s">
        <v>145</v>
      </c>
      <c r="G12" s="259">
        <v>37007</v>
      </c>
      <c r="H12" s="236"/>
      <c r="I12" s="98">
        <v>239</v>
      </c>
      <c r="J12" s="344" t="s">
        <v>147</v>
      </c>
      <c r="K12" s="98" t="s">
        <v>145</v>
      </c>
      <c r="L12" s="259">
        <v>37007</v>
      </c>
      <c r="M12" s="235"/>
      <c r="N12" s="306" t="s">
        <v>156</v>
      </c>
    </row>
    <row r="13" spans="1:14" s="238" customFormat="1" ht="24">
      <c r="A13" s="155"/>
      <c r="B13" s="300" t="s">
        <v>25</v>
      </c>
      <c r="C13" s="64"/>
      <c r="D13" s="98">
        <v>17</v>
      </c>
      <c r="E13" s="344" t="s">
        <v>155</v>
      </c>
      <c r="F13" s="98" t="s">
        <v>145</v>
      </c>
      <c r="G13" s="259">
        <v>37053</v>
      </c>
      <c r="H13" s="236"/>
      <c r="I13" s="98">
        <v>17</v>
      </c>
      <c r="J13" s="344" t="s">
        <v>155</v>
      </c>
      <c r="K13" s="98" t="s">
        <v>145</v>
      </c>
      <c r="L13" s="259">
        <v>37053</v>
      </c>
      <c r="M13" s="235"/>
      <c r="N13" s="306" t="s">
        <v>174</v>
      </c>
    </row>
    <row r="14" spans="1:14" s="157" customFormat="1" ht="24.75" customHeight="1">
      <c r="A14" s="155" t="s">
        <v>374</v>
      </c>
      <c r="B14" s="299"/>
      <c r="C14" s="64"/>
      <c r="D14" s="243">
        <f>SUM(D15:D17)</f>
        <v>645</v>
      </c>
      <c r="E14" s="243"/>
      <c r="F14" s="243"/>
      <c r="G14" s="243"/>
      <c r="H14" s="153"/>
      <c r="I14" s="243">
        <f>SUM(I15:I17)</f>
        <v>645</v>
      </c>
      <c r="J14" s="243"/>
      <c r="K14" s="243"/>
      <c r="L14" s="243"/>
      <c r="M14" s="156"/>
      <c r="N14" s="329"/>
    </row>
    <row r="15" spans="1:14" s="237" customFormat="1" ht="24">
      <c r="A15" s="155"/>
      <c r="B15" s="230" t="s">
        <v>221</v>
      </c>
      <c r="C15" s="64"/>
      <c r="D15" s="98">
        <v>45</v>
      </c>
      <c r="E15" s="98" t="s">
        <v>155</v>
      </c>
      <c r="F15" s="98" t="s">
        <v>145</v>
      </c>
      <c r="G15" s="259">
        <v>36991</v>
      </c>
      <c r="H15" s="236"/>
      <c r="I15" s="98">
        <v>45</v>
      </c>
      <c r="J15" s="98" t="s">
        <v>155</v>
      </c>
      <c r="K15" s="98" t="s">
        <v>145</v>
      </c>
      <c r="L15" s="259">
        <v>36991</v>
      </c>
      <c r="M15" s="235"/>
      <c r="N15" s="306" t="s">
        <v>159</v>
      </c>
    </row>
    <row r="16" spans="1:14" s="237" customFormat="1" ht="24">
      <c r="A16" s="155"/>
      <c r="B16" s="230" t="s">
        <v>66</v>
      </c>
      <c r="C16" s="64"/>
      <c r="D16" s="98">
        <v>500</v>
      </c>
      <c r="E16" s="98" t="s">
        <v>197</v>
      </c>
      <c r="F16" s="98" t="s">
        <v>145</v>
      </c>
      <c r="G16" s="259">
        <v>36980</v>
      </c>
      <c r="H16" s="236"/>
      <c r="I16" s="98">
        <v>500</v>
      </c>
      <c r="J16" s="98" t="s">
        <v>197</v>
      </c>
      <c r="K16" s="355" t="s">
        <v>239</v>
      </c>
      <c r="L16" s="356">
        <v>37015</v>
      </c>
      <c r="M16" s="235"/>
      <c r="N16" s="306"/>
    </row>
    <row r="17" spans="1:14" s="20" customFormat="1" ht="12">
      <c r="A17" s="272"/>
      <c r="B17" s="230"/>
      <c r="C17" s="64"/>
      <c r="D17" s="98">
        <v>100</v>
      </c>
      <c r="E17" s="98" t="s">
        <v>207</v>
      </c>
      <c r="F17" s="98"/>
      <c r="G17" s="98"/>
      <c r="H17" s="236"/>
      <c r="I17" s="98">
        <v>100</v>
      </c>
      <c r="J17" s="98" t="s">
        <v>207</v>
      </c>
      <c r="K17" s="98"/>
      <c r="L17" s="259"/>
      <c r="M17" s="235"/>
      <c r="N17" s="306" t="s">
        <v>208</v>
      </c>
    </row>
    <row r="18" spans="1:14" s="14" customFormat="1" ht="24" customHeight="1">
      <c r="A18" s="284"/>
      <c r="B18" s="357" t="s">
        <v>206</v>
      </c>
      <c r="C18" s="275"/>
      <c r="D18" s="271">
        <f>D7+D9+D14+D11</f>
        <v>1870</v>
      </c>
      <c r="E18" s="271"/>
      <c r="F18" s="271"/>
      <c r="G18" s="271"/>
      <c r="H18" s="285"/>
      <c r="I18" s="271">
        <f>I7+I9+I14+I11</f>
        <v>910</v>
      </c>
      <c r="J18" s="271"/>
      <c r="K18" s="271"/>
      <c r="L18" s="271"/>
      <c r="M18" s="92"/>
      <c r="N18" s="158"/>
    </row>
    <row r="19" spans="2:14" s="48" customFormat="1" ht="12">
      <c r="B19" s="53"/>
      <c r="C19" s="78"/>
      <c r="D19" s="70"/>
      <c r="E19" s="45"/>
      <c r="F19" s="45"/>
      <c r="G19" s="45"/>
      <c r="H19" s="44"/>
      <c r="I19" s="70"/>
      <c r="J19" s="45"/>
      <c r="K19" s="45"/>
      <c r="L19" s="45"/>
      <c r="M19" s="44"/>
      <c r="N19" s="46"/>
    </row>
    <row r="20" spans="2:14" s="48" customFormat="1" ht="12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2:14" s="48" customFormat="1" ht="12">
      <c r="B21" s="53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  <row r="22" spans="2:14" s="48" customFormat="1" ht="12">
      <c r="B22" s="53"/>
      <c r="C22" s="78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2:14" s="48" customFormat="1" ht="12">
      <c r="B23" s="53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2:14" s="48" customFormat="1" ht="12">
      <c r="B24" s="53"/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</sheetData>
  <printOptions gridLines="1" horizontalCentered="1"/>
  <pageMargins left="0.3937007874015748" right="0.3937007874015748" top="0.5905511811023623" bottom="0.5905511811023623" header="0.5118110236220472" footer="0.31496062992125984"/>
  <pageSetup firstPageNumber="20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0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140625" style="69" customWidth="1"/>
    <col min="5" max="7" width="9.8515625" style="8" customWidth="1"/>
    <col min="8" max="8" width="3.8515625" style="91" customWidth="1"/>
    <col min="9" max="9" width="7.57421875" style="69" bestFit="1" customWidth="1"/>
    <col min="10" max="12" width="9.85156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359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33"/>
    </row>
    <row r="5" spans="1:14" ht="39" customHeight="1">
      <c r="A5" s="112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17" customFormat="1" ht="27" customHeight="1">
      <c r="A7" s="138" t="s">
        <v>166</v>
      </c>
      <c r="B7" s="318"/>
      <c r="C7" s="63"/>
      <c r="D7" s="243">
        <f>SUM(D8:D11)</f>
        <v>60</v>
      </c>
      <c r="E7" s="320"/>
      <c r="F7" s="320"/>
      <c r="G7" s="321"/>
      <c r="H7" s="81"/>
      <c r="I7" s="243">
        <f>SUM(I8:I11)</f>
        <v>60</v>
      </c>
      <c r="J7" s="320"/>
      <c r="K7" s="320"/>
      <c r="L7" s="321"/>
      <c r="M7" s="81"/>
      <c r="N7" s="352"/>
    </row>
    <row r="8" spans="1:14" s="17" customFormat="1" ht="24">
      <c r="A8" s="317"/>
      <c r="B8" s="318" t="s">
        <v>167</v>
      </c>
      <c r="C8" s="63"/>
      <c r="D8" s="98">
        <v>2</v>
      </c>
      <c r="E8" s="327" t="s">
        <v>142</v>
      </c>
      <c r="F8" s="327" t="s">
        <v>145</v>
      </c>
      <c r="G8" s="259">
        <v>36924</v>
      </c>
      <c r="H8" s="81"/>
      <c r="I8" s="98">
        <v>2</v>
      </c>
      <c r="J8" s="327" t="s">
        <v>142</v>
      </c>
      <c r="K8" s="327" t="s">
        <v>145</v>
      </c>
      <c r="L8" s="259">
        <v>36924</v>
      </c>
      <c r="M8" s="81"/>
      <c r="N8" s="352"/>
    </row>
    <row r="9" spans="1:14" s="316" customFormat="1" ht="24">
      <c r="A9" s="338"/>
      <c r="B9" s="336" t="s">
        <v>238</v>
      </c>
      <c r="C9" s="63"/>
      <c r="D9" s="98">
        <v>28</v>
      </c>
      <c r="E9" s="327" t="s">
        <v>142</v>
      </c>
      <c r="F9" s="327" t="s">
        <v>145</v>
      </c>
      <c r="G9" s="259">
        <v>37005</v>
      </c>
      <c r="H9" s="337"/>
      <c r="I9" s="98">
        <v>28</v>
      </c>
      <c r="J9" s="327" t="s">
        <v>142</v>
      </c>
      <c r="K9" s="327" t="s">
        <v>145</v>
      </c>
      <c r="L9" s="259">
        <v>37005</v>
      </c>
      <c r="M9" s="337"/>
      <c r="N9" s="324"/>
    </row>
    <row r="10" spans="1:14" s="17" customFormat="1" ht="24">
      <c r="A10" s="338"/>
      <c r="B10" s="336" t="s">
        <v>224</v>
      </c>
      <c r="C10" s="63"/>
      <c r="D10" s="98">
        <v>24</v>
      </c>
      <c r="E10" s="327" t="s">
        <v>142</v>
      </c>
      <c r="F10" s="327" t="s">
        <v>145</v>
      </c>
      <c r="G10" s="259">
        <v>36992</v>
      </c>
      <c r="H10" s="337"/>
      <c r="I10" s="98">
        <v>24</v>
      </c>
      <c r="J10" s="327" t="s">
        <v>142</v>
      </c>
      <c r="K10" s="327" t="s">
        <v>145</v>
      </c>
      <c r="L10" s="259">
        <v>36992</v>
      </c>
      <c r="M10" s="81"/>
      <c r="N10" s="352"/>
    </row>
    <row r="11" spans="1:14" s="316" customFormat="1" ht="24">
      <c r="A11" s="338"/>
      <c r="B11" s="336" t="s">
        <v>265</v>
      </c>
      <c r="C11" s="63"/>
      <c r="D11" s="98">
        <v>6</v>
      </c>
      <c r="E11" s="327" t="s">
        <v>142</v>
      </c>
      <c r="F11" s="327" t="s">
        <v>145</v>
      </c>
      <c r="G11" s="259">
        <v>37013</v>
      </c>
      <c r="H11" s="337"/>
      <c r="I11" s="98">
        <v>6</v>
      </c>
      <c r="J11" s="327" t="s">
        <v>142</v>
      </c>
      <c r="K11" s="327" t="s">
        <v>145</v>
      </c>
      <c r="L11" s="259">
        <v>37013</v>
      </c>
      <c r="M11" s="337"/>
      <c r="N11" s="324"/>
    </row>
    <row r="12" spans="1:14" s="48" customFormat="1" ht="21.75" customHeight="1">
      <c r="A12" s="138" t="s">
        <v>393</v>
      </c>
      <c r="B12" s="39"/>
      <c r="C12" s="64"/>
      <c r="D12" s="243">
        <f>SUM(D13:D15)</f>
        <v>615</v>
      </c>
      <c r="E12" s="243"/>
      <c r="F12" s="243"/>
      <c r="G12" s="243"/>
      <c r="H12" s="49"/>
      <c r="I12" s="243">
        <f>SUM(I13:I15)</f>
        <v>615</v>
      </c>
      <c r="J12" s="243"/>
      <c r="K12" s="243"/>
      <c r="L12" s="243"/>
      <c r="M12" s="44"/>
      <c r="N12" s="346"/>
    </row>
    <row r="13" spans="1:14" s="48" customFormat="1" ht="24">
      <c r="A13" s="56"/>
      <c r="B13" s="39" t="s">
        <v>111</v>
      </c>
      <c r="C13" s="64"/>
      <c r="D13" s="98">
        <v>115</v>
      </c>
      <c r="E13" s="327" t="s">
        <v>155</v>
      </c>
      <c r="F13" s="327" t="s">
        <v>145</v>
      </c>
      <c r="G13" s="259">
        <v>37007</v>
      </c>
      <c r="H13" s="337"/>
      <c r="I13" s="98">
        <v>115</v>
      </c>
      <c r="J13" s="327" t="s">
        <v>155</v>
      </c>
      <c r="K13" s="327" t="s">
        <v>145</v>
      </c>
      <c r="L13" s="259">
        <v>37007</v>
      </c>
      <c r="M13" s="44"/>
      <c r="N13" s="346" t="s">
        <v>112</v>
      </c>
    </row>
    <row r="14" spans="1:14" s="238" customFormat="1" ht="24">
      <c r="A14" s="155"/>
      <c r="B14" s="240" t="s">
        <v>248</v>
      </c>
      <c r="C14" s="64"/>
      <c r="D14" s="98">
        <v>200</v>
      </c>
      <c r="E14" s="98" t="s">
        <v>155</v>
      </c>
      <c r="F14" s="98" t="s">
        <v>145</v>
      </c>
      <c r="G14" s="259">
        <v>37105</v>
      </c>
      <c r="H14" s="236"/>
      <c r="I14" s="98">
        <v>200</v>
      </c>
      <c r="J14" s="98" t="s">
        <v>155</v>
      </c>
      <c r="K14" s="98" t="s">
        <v>145</v>
      </c>
      <c r="L14" s="259">
        <v>37203</v>
      </c>
      <c r="M14" s="235"/>
      <c r="N14" s="201"/>
    </row>
    <row r="15" spans="1:14" s="238" customFormat="1" ht="12">
      <c r="A15" s="155"/>
      <c r="B15" s="300" t="s">
        <v>249</v>
      </c>
      <c r="C15" s="64"/>
      <c r="D15" s="98">
        <v>300</v>
      </c>
      <c r="E15" s="98" t="s">
        <v>155</v>
      </c>
      <c r="F15" s="98" t="s">
        <v>145</v>
      </c>
      <c r="G15" s="259">
        <v>37105</v>
      </c>
      <c r="H15" s="236"/>
      <c r="I15" s="98">
        <v>300</v>
      </c>
      <c r="J15" s="98" t="s">
        <v>155</v>
      </c>
      <c r="K15" s="98" t="s">
        <v>145</v>
      </c>
      <c r="L15" s="259">
        <v>37203</v>
      </c>
      <c r="M15" s="235"/>
      <c r="N15" s="201"/>
    </row>
    <row r="16" spans="1:14" s="48" customFormat="1" ht="21.75" customHeight="1">
      <c r="A16" s="138" t="s">
        <v>394</v>
      </c>
      <c r="B16" s="39"/>
      <c r="C16" s="64"/>
      <c r="D16" s="243">
        <f>SUM(D17)</f>
        <v>250</v>
      </c>
      <c r="E16" s="243"/>
      <c r="F16" s="243"/>
      <c r="G16" s="243"/>
      <c r="H16" s="49"/>
      <c r="I16" s="243">
        <f>SUM(I17)</f>
        <v>0</v>
      </c>
      <c r="J16" s="243"/>
      <c r="K16" s="243"/>
      <c r="L16" s="243"/>
      <c r="M16" s="44"/>
      <c r="N16" s="346"/>
    </row>
    <row r="17" spans="1:14" s="48" customFormat="1" ht="24">
      <c r="A17" s="56"/>
      <c r="B17" s="39" t="s">
        <v>131</v>
      </c>
      <c r="C17" s="64"/>
      <c r="D17" s="98">
        <v>250</v>
      </c>
      <c r="E17" s="327" t="s">
        <v>155</v>
      </c>
      <c r="F17" s="327" t="s">
        <v>145</v>
      </c>
      <c r="G17" s="259">
        <v>37231</v>
      </c>
      <c r="H17" s="337"/>
      <c r="I17" s="98"/>
      <c r="J17" s="327"/>
      <c r="K17" s="327"/>
      <c r="L17" s="259"/>
      <c r="M17" s="44"/>
      <c r="N17" s="346"/>
    </row>
    <row r="18" spans="1:14" s="48" customFormat="1" ht="24" customHeight="1">
      <c r="A18" s="568" t="s">
        <v>378</v>
      </c>
      <c r="B18" s="569"/>
      <c r="C18" s="64"/>
      <c r="D18" s="243">
        <f>SUM(D19:D20)</f>
        <v>8</v>
      </c>
      <c r="E18" s="98"/>
      <c r="F18" s="98"/>
      <c r="G18" s="98"/>
      <c r="H18" s="49"/>
      <c r="I18" s="243">
        <f>SUM(I19:I20)</f>
        <v>8</v>
      </c>
      <c r="J18" s="98"/>
      <c r="K18" s="98"/>
      <c r="L18" s="98"/>
      <c r="M18" s="44"/>
      <c r="N18" s="74"/>
    </row>
    <row r="19" spans="1:14" s="48" customFormat="1" ht="12">
      <c r="A19" s="56"/>
      <c r="B19" s="24" t="s">
        <v>150</v>
      </c>
      <c r="C19" s="64"/>
      <c r="D19" s="98">
        <v>2</v>
      </c>
      <c r="E19" s="98" t="s">
        <v>151</v>
      </c>
      <c r="F19" s="98" t="s">
        <v>145</v>
      </c>
      <c r="G19" s="259">
        <v>36922</v>
      </c>
      <c r="H19" s="49"/>
      <c r="I19" s="98">
        <v>2</v>
      </c>
      <c r="J19" s="98" t="s">
        <v>151</v>
      </c>
      <c r="K19" s="98" t="s">
        <v>145</v>
      </c>
      <c r="L19" s="259">
        <v>36922</v>
      </c>
      <c r="M19" s="44"/>
      <c r="N19" s="74"/>
    </row>
    <row r="20" spans="1:14" s="48" customFormat="1" ht="12">
      <c r="A20" s="56"/>
      <c r="B20" s="24"/>
      <c r="C20" s="64"/>
      <c r="D20" s="98">
        <v>6</v>
      </c>
      <c r="E20" s="98" t="s">
        <v>142</v>
      </c>
      <c r="F20" s="98"/>
      <c r="G20" s="98"/>
      <c r="H20" s="49"/>
      <c r="I20" s="98">
        <v>6</v>
      </c>
      <c r="J20" s="98" t="s">
        <v>142</v>
      </c>
      <c r="K20" s="98"/>
      <c r="L20" s="98"/>
      <c r="M20" s="44"/>
      <c r="N20" s="74"/>
    </row>
    <row r="21" spans="1:14" s="14" customFormat="1" ht="22.5" customHeight="1">
      <c r="A21" s="269"/>
      <c r="B21" s="292" t="s">
        <v>206</v>
      </c>
      <c r="C21" s="275"/>
      <c r="D21" s="271">
        <f>D16+D18+D7+D12</f>
        <v>933</v>
      </c>
      <c r="E21" s="271"/>
      <c r="F21" s="271"/>
      <c r="G21" s="271"/>
      <c r="H21" s="280"/>
      <c r="I21" s="271">
        <f>I16+I18+I7+I12</f>
        <v>683</v>
      </c>
      <c r="J21" s="271"/>
      <c r="K21" s="271"/>
      <c r="L21" s="271"/>
      <c r="M21" s="92"/>
      <c r="N21" s="158"/>
    </row>
    <row r="22" spans="2:14" s="48" customFormat="1" ht="12">
      <c r="B22" s="53"/>
      <c r="C22" s="78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2:14" s="48" customFormat="1" ht="12">
      <c r="B23" s="53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2:14" s="48" customFormat="1" ht="12">
      <c r="B24" s="53"/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  <row r="25" spans="2:14" s="48" customFormat="1" ht="12">
      <c r="B25" s="53"/>
      <c r="C25" s="78"/>
      <c r="D25" s="70"/>
      <c r="E25" s="45"/>
      <c r="F25" s="45"/>
      <c r="G25" s="45"/>
      <c r="H25" s="44"/>
      <c r="I25" s="70"/>
      <c r="J25" s="45"/>
      <c r="K25" s="45"/>
      <c r="L25" s="45"/>
      <c r="M25" s="44"/>
      <c r="N25" s="46"/>
    </row>
    <row r="26" spans="2:14" s="48" customFormat="1" ht="12">
      <c r="B26" s="53"/>
      <c r="C26" s="78"/>
      <c r="D26" s="70"/>
      <c r="E26" s="45"/>
      <c r="F26" s="45"/>
      <c r="G26" s="45"/>
      <c r="H26" s="44"/>
      <c r="I26" s="70"/>
      <c r="J26" s="45"/>
      <c r="K26" s="45"/>
      <c r="L26" s="45"/>
      <c r="M26" s="44"/>
      <c r="N26" s="46"/>
    </row>
    <row r="27" spans="2:14" s="48" customFormat="1" ht="12">
      <c r="B27" s="53"/>
      <c r="C27" s="78"/>
      <c r="D27" s="70"/>
      <c r="E27" s="45"/>
      <c r="F27" s="45"/>
      <c r="G27" s="45"/>
      <c r="H27" s="44"/>
      <c r="I27" s="70"/>
      <c r="J27" s="45"/>
      <c r="K27" s="45"/>
      <c r="L27" s="45"/>
      <c r="M27" s="44"/>
      <c r="N27" s="46"/>
    </row>
    <row r="28" spans="2:14" s="48" customFormat="1" ht="12">
      <c r="B28" s="53"/>
      <c r="C28" s="78"/>
      <c r="D28" s="70"/>
      <c r="E28" s="45"/>
      <c r="F28" s="45"/>
      <c r="G28" s="45"/>
      <c r="H28" s="44"/>
      <c r="I28" s="70"/>
      <c r="J28" s="45"/>
      <c r="K28" s="45"/>
      <c r="L28" s="45"/>
      <c r="M28" s="44"/>
      <c r="N28" s="46"/>
    </row>
    <row r="29" spans="2:14" s="48" customFormat="1" ht="12">
      <c r="B29" s="53"/>
      <c r="C29" s="78"/>
      <c r="D29" s="70"/>
      <c r="E29" s="45"/>
      <c r="F29" s="45"/>
      <c r="G29" s="45"/>
      <c r="H29" s="44"/>
      <c r="I29" s="70"/>
      <c r="J29" s="45"/>
      <c r="K29" s="45"/>
      <c r="L29" s="45"/>
      <c r="M29" s="44"/>
      <c r="N29" s="46"/>
    </row>
    <row r="30" spans="2:14" s="48" customFormat="1" ht="12">
      <c r="B30" s="53"/>
      <c r="C30" s="78"/>
      <c r="D30" s="70"/>
      <c r="E30" s="45"/>
      <c r="F30" s="45"/>
      <c r="G30" s="45"/>
      <c r="H30" s="44"/>
      <c r="I30" s="70"/>
      <c r="J30" s="45"/>
      <c r="K30" s="45"/>
      <c r="L30" s="45"/>
      <c r="M30" s="44"/>
      <c r="N30" s="46"/>
    </row>
    <row r="31" spans="2:14" s="48" customFormat="1" ht="12">
      <c r="B31" s="53"/>
      <c r="C31" s="78"/>
      <c r="D31" s="70"/>
      <c r="E31" s="45"/>
      <c r="F31" s="45"/>
      <c r="G31" s="45"/>
      <c r="H31" s="44"/>
      <c r="I31" s="70"/>
      <c r="J31" s="45"/>
      <c r="K31" s="45"/>
      <c r="L31" s="45"/>
      <c r="M31" s="44"/>
      <c r="N31" s="46"/>
    </row>
    <row r="32" spans="2:14" s="48" customFormat="1" ht="12">
      <c r="B32" s="53"/>
      <c r="C32" s="78"/>
      <c r="D32" s="70"/>
      <c r="E32" s="45"/>
      <c r="F32" s="45"/>
      <c r="G32" s="45"/>
      <c r="H32" s="44"/>
      <c r="I32" s="70"/>
      <c r="J32" s="45"/>
      <c r="K32" s="45"/>
      <c r="L32" s="45"/>
      <c r="M32" s="44"/>
      <c r="N32" s="46"/>
    </row>
    <row r="33" spans="2:14" s="48" customFormat="1" ht="12">
      <c r="B33" s="53"/>
      <c r="C33" s="78"/>
      <c r="D33" s="70"/>
      <c r="E33" s="45"/>
      <c r="F33" s="45"/>
      <c r="G33" s="45"/>
      <c r="H33" s="44"/>
      <c r="I33" s="70"/>
      <c r="J33" s="45"/>
      <c r="K33" s="45"/>
      <c r="L33" s="45"/>
      <c r="M33" s="44"/>
      <c r="N33" s="46"/>
    </row>
    <row r="34" spans="2:14" s="48" customFormat="1" ht="12">
      <c r="B34" s="53"/>
      <c r="C34" s="78"/>
      <c r="D34" s="70"/>
      <c r="E34" s="45"/>
      <c r="F34" s="45"/>
      <c r="G34" s="45"/>
      <c r="H34" s="44"/>
      <c r="I34" s="70"/>
      <c r="J34" s="45"/>
      <c r="K34" s="45"/>
      <c r="L34" s="45"/>
      <c r="M34" s="44"/>
      <c r="N34" s="46"/>
    </row>
    <row r="35" spans="2:14" s="48" customFormat="1" ht="12">
      <c r="B35" s="53"/>
      <c r="C35" s="78"/>
      <c r="D35" s="70"/>
      <c r="E35" s="45"/>
      <c r="F35" s="45"/>
      <c r="G35" s="45"/>
      <c r="H35" s="44"/>
      <c r="I35" s="70"/>
      <c r="J35" s="45"/>
      <c r="K35" s="45"/>
      <c r="L35" s="45"/>
      <c r="M35" s="44"/>
      <c r="N35" s="46"/>
    </row>
    <row r="36" spans="2:14" s="48" customFormat="1" ht="12">
      <c r="B36" s="53"/>
      <c r="C36" s="78"/>
      <c r="D36" s="70"/>
      <c r="E36" s="45"/>
      <c r="F36" s="45"/>
      <c r="G36" s="45"/>
      <c r="H36" s="44"/>
      <c r="I36" s="70"/>
      <c r="J36" s="45"/>
      <c r="K36" s="45"/>
      <c r="L36" s="45"/>
      <c r="M36" s="44"/>
      <c r="N36" s="46"/>
    </row>
    <row r="37" spans="2:14" s="48" customFormat="1" ht="12">
      <c r="B37" s="53"/>
      <c r="C37" s="78"/>
      <c r="D37" s="70"/>
      <c r="E37" s="45"/>
      <c r="F37" s="45"/>
      <c r="G37" s="45"/>
      <c r="H37" s="44"/>
      <c r="I37" s="70"/>
      <c r="J37" s="45"/>
      <c r="K37" s="45"/>
      <c r="L37" s="45"/>
      <c r="M37" s="44"/>
      <c r="N37" s="46"/>
    </row>
    <row r="38" spans="2:14" s="48" customFormat="1" ht="12">
      <c r="B38" s="53"/>
      <c r="C38" s="78"/>
      <c r="D38" s="70"/>
      <c r="E38" s="45"/>
      <c r="F38" s="45"/>
      <c r="G38" s="45"/>
      <c r="H38" s="44"/>
      <c r="I38" s="70"/>
      <c r="J38" s="45"/>
      <c r="K38" s="45"/>
      <c r="L38" s="45"/>
      <c r="M38" s="44"/>
      <c r="N38" s="46"/>
    </row>
    <row r="39" spans="2:14" s="48" customFormat="1" ht="12">
      <c r="B39" s="53"/>
      <c r="C39" s="78"/>
      <c r="D39" s="70"/>
      <c r="E39" s="45"/>
      <c r="F39" s="45"/>
      <c r="G39" s="45"/>
      <c r="H39" s="44"/>
      <c r="I39" s="70"/>
      <c r="J39" s="45"/>
      <c r="K39" s="45"/>
      <c r="L39" s="45"/>
      <c r="M39" s="44"/>
      <c r="N39" s="46"/>
    </row>
    <row r="40" spans="2:14" s="48" customFormat="1" ht="12">
      <c r="B40" s="53"/>
      <c r="C40" s="78"/>
      <c r="D40" s="70"/>
      <c r="E40" s="45"/>
      <c r="F40" s="45"/>
      <c r="G40" s="45"/>
      <c r="H40" s="44"/>
      <c r="I40" s="70"/>
      <c r="J40" s="45"/>
      <c r="K40" s="45"/>
      <c r="L40" s="45"/>
      <c r="M40" s="44"/>
      <c r="N40" s="46"/>
    </row>
    <row r="41" spans="2:14" s="48" customFormat="1" ht="12">
      <c r="B41" s="53"/>
      <c r="C41" s="78"/>
      <c r="D41" s="70"/>
      <c r="E41" s="45"/>
      <c r="F41" s="45"/>
      <c r="G41" s="45"/>
      <c r="H41" s="44"/>
      <c r="I41" s="70"/>
      <c r="J41" s="45"/>
      <c r="K41" s="45"/>
      <c r="L41" s="45"/>
      <c r="M41" s="44"/>
      <c r="N41" s="46"/>
    </row>
    <row r="42" spans="2:14" s="48" customFormat="1" ht="12">
      <c r="B42" s="53"/>
      <c r="C42" s="78"/>
      <c r="D42" s="70"/>
      <c r="E42" s="45"/>
      <c r="F42" s="45"/>
      <c r="G42" s="45"/>
      <c r="H42" s="44"/>
      <c r="I42" s="70"/>
      <c r="J42" s="45"/>
      <c r="K42" s="45"/>
      <c r="L42" s="45"/>
      <c r="M42" s="44"/>
      <c r="N42" s="46"/>
    </row>
    <row r="43" spans="2:14" s="48" customFormat="1" ht="12">
      <c r="B43" s="53"/>
      <c r="C43" s="78"/>
      <c r="D43" s="70"/>
      <c r="E43" s="45"/>
      <c r="F43" s="45"/>
      <c r="G43" s="45"/>
      <c r="H43" s="44"/>
      <c r="I43" s="70"/>
      <c r="J43" s="45"/>
      <c r="K43" s="45"/>
      <c r="L43" s="45"/>
      <c r="M43" s="44"/>
      <c r="N43" s="46"/>
    </row>
    <row r="44" spans="2:14" s="48" customFormat="1" ht="12">
      <c r="B44" s="53"/>
      <c r="C44" s="78"/>
      <c r="D44" s="70"/>
      <c r="E44" s="45"/>
      <c r="F44" s="45"/>
      <c r="G44" s="45"/>
      <c r="H44" s="44"/>
      <c r="I44" s="70"/>
      <c r="J44" s="45"/>
      <c r="K44" s="45"/>
      <c r="L44" s="45"/>
      <c r="M44" s="44"/>
      <c r="N44" s="46"/>
    </row>
    <row r="45" spans="2:14" s="48" customFormat="1" ht="12">
      <c r="B45" s="53"/>
      <c r="C45" s="78"/>
      <c r="D45" s="70"/>
      <c r="E45" s="45"/>
      <c r="F45" s="45"/>
      <c r="G45" s="45"/>
      <c r="H45" s="44"/>
      <c r="I45" s="70"/>
      <c r="J45" s="45"/>
      <c r="K45" s="45"/>
      <c r="L45" s="45"/>
      <c r="M45" s="44"/>
      <c r="N45" s="46"/>
    </row>
    <row r="46" spans="2:14" s="48" customFormat="1" ht="12">
      <c r="B46" s="53"/>
      <c r="C46" s="78"/>
      <c r="D46" s="70"/>
      <c r="E46" s="45"/>
      <c r="F46" s="45"/>
      <c r="G46" s="45"/>
      <c r="H46" s="44"/>
      <c r="I46" s="70"/>
      <c r="J46" s="45"/>
      <c r="K46" s="45"/>
      <c r="L46" s="45"/>
      <c r="M46" s="44"/>
      <c r="N46" s="46"/>
    </row>
    <row r="47" spans="2:14" s="48" customFormat="1" ht="12">
      <c r="B47" s="53"/>
      <c r="C47" s="78"/>
      <c r="D47" s="70"/>
      <c r="E47" s="45"/>
      <c r="F47" s="45"/>
      <c r="G47" s="45"/>
      <c r="H47" s="44"/>
      <c r="I47" s="70"/>
      <c r="J47" s="45"/>
      <c r="K47" s="45"/>
      <c r="L47" s="45"/>
      <c r="M47" s="44"/>
      <c r="N47" s="46"/>
    </row>
    <row r="48" spans="2:14" s="48" customFormat="1" ht="12">
      <c r="B48" s="53"/>
      <c r="C48" s="78"/>
      <c r="D48" s="70"/>
      <c r="E48" s="45"/>
      <c r="F48" s="45"/>
      <c r="G48" s="45"/>
      <c r="H48" s="44"/>
      <c r="I48" s="70"/>
      <c r="J48" s="45"/>
      <c r="K48" s="45"/>
      <c r="L48" s="45"/>
      <c r="M48" s="44"/>
      <c r="N48" s="46"/>
    </row>
    <row r="49" spans="2:14" s="48" customFormat="1" ht="12">
      <c r="B49" s="53"/>
      <c r="C49" s="78"/>
      <c r="D49" s="70"/>
      <c r="E49" s="45"/>
      <c r="F49" s="45"/>
      <c r="G49" s="45"/>
      <c r="H49" s="44"/>
      <c r="I49" s="70"/>
      <c r="J49" s="45"/>
      <c r="K49" s="45"/>
      <c r="L49" s="45"/>
      <c r="M49" s="44"/>
      <c r="N49" s="46"/>
    </row>
    <row r="50" spans="2:14" s="48" customFormat="1" ht="12">
      <c r="B50" s="53"/>
      <c r="C50" s="78"/>
      <c r="D50" s="70"/>
      <c r="E50" s="45"/>
      <c r="F50" s="45"/>
      <c r="G50" s="45"/>
      <c r="H50" s="44"/>
      <c r="I50" s="70"/>
      <c r="J50" s="45"/>
      <c r="K50" s="45"/>
      <c r="L50" s="45"/>
      <c r="M50" s="44"/>
      <c r="N50" s="46"/>
    </row>
    <row r="51" spans="2:14" s="48" customFormat="1" ht="12">
      <c r="B51" s="53"/>
      <c r="C51" s="78"/>
      <c r="D51" s="70"/>
      <c r="E51" s="45"/>
      <c r="F51" s="45"/>
      <c r="G51" s="45"/>
      <c r="H51" s="44"/>
      <c r="I51" s="70"/>
      <c r="J51" s="45"/>
      <c r="K51" s="45"/>
      <c r="L51" s="45"/>
      <c r="M51" s="44"/>
      <c r="N51" s="46"/>
    </row>
    <row r="52" spans="2:14" s="48" customFormat="1" ht="12">
      <c r="B52" s="53"/>
      <c r="C52" s="78"/>
      <c r="D52" s="70"/>
      <c r="E52" s="45"/>
      <c r="F52" s="45"/>
      <c r="G52" s="45"/>
      <c r="H52" s="44"/>
      <c r="I52" s="70"/>
      <c r="J52" s="45"/>
      <c r="K52" s="45"/>
      <c r="L52" s="45"/>
      <c r="M52" s="44"/>
      <c r="N52" s="46"/>
    </row>
    <row r="53" spans="2:14" s="48" customFormat="1" ht="12">
      <c r="B53" s="53"/>
      <c r="C53" s="78"/>
      <c r="D53" s="70"/>
      <c r="E53" s="45"/>
      <c r="F53" s="45"/>
      <c r="G53" s="45"/>
      <c r="H53" s="44"/>
      <c r="I53" s="70"/>
      <c r="J53" s="45"/>
      <c r="K53" s="45"/>
      <c r="L53" s="45"/>
      <c r="M53" s="44"/>
      <c r="N53" s="46"/>
    </row>
    <row r="54" spans="2:14" s="48" customFormat="1" ht="12">
      <c r="B54" s="53"/>
      <c r="C54" s="78"/>
      <c r="D54" s="70"/>
      <c r="E54" s="45"/>
      <c r="F54" s="45"/>
      <c r="G54" s="45"/>
      <c r="H54" s="44"/>
      <c r="I54" s="70"/>
      <c r="J54" s="45"/>
      <c r="K54" s="45"/>
      <c r="L54" s="45"/>
      <c r="M54" s="44"/>
      <c r="N54" s="46"/>
    </row>
    <row r="55" spans="2:14" s="48" customFormat="1" ht="12">
      <c r="B55" s="53"/>
      <c r="C55" s="78"/>
      <c r="D55" s="70"/>
      <c r="E55" s="45"/>
      <c r="F55" s="45"/>
      <c r="G55" s="45"/>
      <c r="H55" s="44"/>
      <c r="I55" s="70"/>
      <c r="J55" s="45"/>
      <c r="K55" s="45"/>
      <c r="L55" s="45"/>
      <c r="M55" s="44"/>
      <c r="N55" s="46"/>
    </row>
    <row r="56" spans="2:14" s="48" customFormat="1" ht="12">
      <c r="B56" s="53"/>
      <c r="C56" s="78"/>
      <c r="D56" s="70"/>
      <c r="E56" s="45"/>
      <c r="F56" s="45"/>
      <c r="G56" s="45"/>
      <c r="H56" s="44"/>
      <c r="I56" s="70"/>
      <c r="J56" s="45"/>
      <c r="K56" s="45"/>
      <c r="L56" s="45"/>
      <c r="M56" s="44"/>
      <c r="N56" s="46"/>
    </row>
    <row r="57" spans="2:14" s="48" customFormat="1" ht="12">
      <c r="B57" s="53"/>
      <c r="C57" s="78"/>
      <c r="D57" s="70"/>
      <c r="E57" s="45"/>
      <c r="F57" s="45"/>
      <c r="G57" s="45"/>
      <c r="H57" s="44"/>
      <c r="I57" s="70"/>
      <c r="J57" s="45"/>
      <c r="K57" s="45"/>
      <c r="L57" s="45"/>
      <c r="M57" s="44"/>
      <c r="N57" s="46"/>
    </row>
    <row r="58" spans="2:14" s="48" customFormat="1" ht="12">
      <c r="B58" s="53"/>
      <c r="C58" s="78"/>
      <c r="D58" s="70"/>
      <c r="E58" s="45"/>
      <c r="F58" s="45"/>
      <c r="G58" s="45"/>
      <c r="H58" s="44"/>
      <c r="I58" s="70"/>
      <c r="J58" s="45"/>
      <c r="K58" s="45"/>
      <c r="L58" s="45"/>
      <c r="M58" s="44"/>
      <c r="N58" s="46"/>
    </row>
    <row r="59" spans="2:14" s="48" customFormat="1" ht="12">
      <c r="B59" s="53"/>
      <c r="C59" s="78"/>
      <c r="D59" s="70"/>
      <c r="E59" s="45"/>
      <c r="F59" s="45"/>
      <c r="G59" s="45"/>
      <c r="H59" s="44"/>
      <c r="I59" s="70"/>
      <c r="J59" s="45"/>
      <c r="K59" s="45"/>
      <c r="L59" s="45"/>
      <c r="M59" s="44"/>
      <c r="N59" s="46"/>
    </row>
    <row r="60" spans="2:14" s="48" customFormat="1" ht="12">
      <c r="B60" s="53"/>
      <c r="C60" s="78"/>
      <c r="D60" s="70"/>
      <c r="E60" s="45"/>
      <c r="F60" s="45"/>
      <c r="G60" s="45"/>
      <c r="H60" s="44"/>
      <c r="I60" s="70"/>
      <c r="J60" s="45"/>
      <c r="K60" s="45"/>
      <c r="L60" s="45"/>
      <c r="M60" s="44"/>
      <c r="N60" s="46"/>
    </row>
    <row r="61" spans="2:14" s="48" customFormat="1" ht="12">
      <c r="B61" s="53"/>
      <c r="C61" s="78"/>
      <c r="D61" s="70"/>
      <c r="E61" s="45"/>
      <c r="F61" s="45"/>
      <c r="G61" s="45"/>
      <c r="H61" s="44"/>
      <c r="I61" s="70"/>
      <c r="J61" s="45"/>
      <c r="K61" s="45"/>
      <c r="L61" s="45"/>
      <c r="M61" s="44"/>
      <c r="N61" s="46"/>
    </row>
    <row r="62" spans="2:14" s="48" customFormat="1" ht="12">
      <c r="B62" s="53"/>
      <c r="C62" s="78"/>
      <c r="D62" s="70"/>
      <c r="E62" s="45"/>
      <c r="F62" s="45"/>
      <c r="G62" s="45"/>
      <c r="H62" s="44"/>
      <c r="I62" s="70"/>
      <c r="J62" s="45"/>
      <c r="K62" s="45"/>
      <c r="L62" s="45"/>
      <c r="M62" s="44"/>
      <c r="N62" s="46"/>
    </row>
    <row r="63" spans="2:14" s="48" customFormat="1" ht="12">
      <c r="B63" s="53"/>
      <c r="C63" s="78"/>
      <c r="D63" s="70"/>
      <c r="E63" s="45"/>
      <c r="F63" s="45"/>
      <c r="G63" s="45"/>
      <c r="H63" s="44"/>
      <c r="I63" s="70"/>
      <c r="J63" s="45"/>
      <c r="K63" s="45"/>
      <c r="L63" s="45"/>
      <c r="M63" s="44"/>
      <c r="N63" s="46"/>
    </row>
    <row r="64" spans="2:14" s="48" customFormat="1" ht="12">
      <c r="B64" s="53"/>
      <c r="C64" s="78"/>
      <c r="D64" s="70"/>
      <c r="E64" s="45"/>
      <c r="F64" s="45"/>
      <c r="G64" s="45"/>
      <c r="H64" s="44"/>
      <c r="I64" s="70"/>
      <c r="J64" s="45"/>
      <c r="K64" s="45"/>
      <c r="L64" s="45"/>
      <c r="M64" s="44"/>
      <c r="N64" s="46"/>
    </row>
    <row r="65" spans="2:14" s="48" customFormat="1" ht="12">
      <c r="B65" s="53"/>
      <c r="C65" s="78"/>
      <c r="D65" s="70"/>
      <c r="E65" s="45"/>
      <c r="F65" s="45"/>
      <c r="G65" s="45"/>
      <c r="H65" s="44"/>
      <c r="I65" s="70"/>
      <c r="J65" s="45"/>
      <c r="K65" s="45"/>
      <c r="L65" s="45"/>
      <c r="M65" s="44"/>
      <c r="N65" s="46"/>
    </row>
    <row r="66" spans="2:14" s="48" customFormat="1" ht="12">
      <c r="B66" s="53"/>
      <c r="C66" s="78"/>
      <c r="D66" s="70"/>
      <c r="E66" s="45"/>
      <c r="F66" s="45"/>
      <c r="G66" s="45"/>
      <c r="H66" s="44"/>
      <c r="I66" s="70"/>
      <c r="J66" s="45"/>
      <c r="K66" s="45"/>
      <c r="L66" s="45"/>
      <c r="M66" s="44"/>
      <c r="N66" s="46"/>
    </row>
    <row r="67" spans="2:14" s="48" customFormat="1" ht="12">
      <c r="B67" s="53"/>
      <c r="C67" s="78"/>
      <c r="D67" s="70"/>
      <c r="E67" s="45"/>
      <c r="F67" s="45"/>
      <c r="G67" s="45"/>
      <c r="H67" s="44"/>
      <c r="I67" s="70"/>
      <c r="J67" s="45"/>
      <c r="K67" s="45"/>
      <c r="L67" s="45"/>
      <c r="M67" s="44"/>
      <c r="N67" s="46"/>
    </row>
    <row r="68" spans="2:14" s="48" customFormat="1" ht="12">
      <c r="B68" s="53"/>
      <c r="C68" s="78"/>
      <c r="D68" s="70"/>
      <c r="E68" s="45"/>
      <c r="F68" s="45"/>
      <c r="G68" s="45"/>
      <c r="H68" s="44"/>
      <c r="I68" s="70"/>
      <c r="J68" s="45"/>
      <c r="K68" s="45"/>
      <c r="L68" s="45"/>
      <c r="M68" s="44"/>
      <c r="N68" s="46"/>
    </row>
    <row r="69" spans="2:14" s="48" customFormat="1" ht="12">
      <c r="B69" s="53"/>
      <c r="C69" s="78"/>
      <c r="D69" s="70"/>
      <c r="E69" s="45"/>
      <c r="F69" s="45"/>
      <c r="G69" s="45"/>
      <c r="H69" s="44"/>
      <c r="I69" s="70"/>
      <c r="J69" s="45"/>
      <c r="K69" s="45"/>
      <c r="L69" s="45"/>
      <c r="M69" s="44"/>
      <c r="N69" s="46"/>
    </row>
    <row r="70" spans="2:14" s="48" customFormat="1" ht="12">
      <c r="B70" s="53"/>
      <c r="C70" s="78"/>
      <c r="D70" s="70"/>
      <c r="E70" s="45"/>
      <c r="F70" s="45"/>
      <c r="G70" s="45"/>
      <c r="H70" s="44"/>
      <c r="I70" s="70"/>
      <c r="J70" s="45"/>
      <c r="K70" s="45"/>
      <c r="L70" s="45"/>
      <c r="M70" s="44"/>
      <c r="N70" s="46"/>
    </row>
    <row r="71" spans="2:14" s="48" customFormat="1" ht="12">
      <c r="B71" s="53"/>
      <c r="C71" s="78"/>
      <c r="D71" s="70"/>
      <c r="E71" s="45"/>
      <c r="F71" s="45"/>
      <c r="G71" s="45"/>
      <c r="H71" s="44"/>
      <c r="I71" s="70"/>
      <c r="J71" s="45"/>
      <c r="K71" s="45"/>
      <c r="L71" s="45"/>
      <c r="M71" s="44"/>
      <c r="N71" s="46"/>
    </row>
    <row r="72" spans="2:14" s="48" customFormat="1" ht="12">
      <c r="B72" s="53"/>
      <c r="C72" s="78"/>
      <c r="D72" s="70"/>
      <c r="E72" s="45"/>
      <c r="F72" s="45"/>
      <c r="G72" s="45"/>
      <c r="H72" s="44"/>
      <c r="I72" s="70"/>
      <c r="J72" s="45"/>
      <c r="K72" s="45"/>
      <c r="L72" s="45"/>
      <c r="M72" s="44"/>
      <c r="N72" s="46"/>
    </row>
    <row r="73" spans="2:14" s="48" customFormat="1" ht="12">
      <c r="B73" s="53"/>
      <c r="C73" s="78"/>
      <c r="D73" s="70"/>
      <c r="E73" s="45"/>
      <c r="F73" s="45"/>
      <c r="G73" s="45"/>
      <c r="H73" s="44"/>
      <c r="I73" s="70"/>
      <c r="J73" s="45"/>
      <c r="K73" s="45"/>
      <c r="L73" s="45"/>
      <c r="M73" s="44"/>
      <c r="N73" s="46"/>
    </row>
    <row r="74" spans="2:14" s="48" customFormat="1" ht="12">
      <c r="B74" s="53"/>
      <c r="C74" s="78"/>
      <c r="D74" s="70"/>
      <c r="E74" s="45"/>
      <c r="F74" s="45"/>
      <c r="G74" s="45"/>
      <c r="H74" s="44"/>
      <c r="I74" s="70"/>
      <c r="J74" s="45"/>
      <c r="K74" s="45"/>
      <c r="L74" s="45"/>
      <c r="M74" s="44"/>
      <c r="N74" s="46"/>
    </row>
    <row r="75" spans="2:14" s="48" customFormat="1" ht="12">
      <c r="B75" s="53"/>
      <c r="C75" s="78"/>
      <c r="D75" s="70"/>
      <c r="E75" s="45"/>
      <c r="F75" s="45"/>
      <c r="G75" s="45"/>
      <c r="H75" s="44"/>
      <c r="I75" s="70"/>
      <c r="J75" s="45"/>
      <c r="K75" s="45"/>
      <c r="L75" s="45"/>
      <c r="M75" s="44"/>
      <c r="N75" s="46"/>
    </row>
    <row r="76" spans="2:14" s="48" customFormat="1" ht="12">
      <c r="B76" s="53"/>
      <c r="C76" s="78"/>
      <c r="D76" s="70"/>
      <c r="E76" s="45"/>
      <c r="F76" s="45"/>
      <c r="G76" s="45"/>
      <c r="H76" s="44"/>
      <c r="I76" s="70"/>
      <c r="J76" s="45"/>
      <c r="K76" s="45"/>
      <c r="L76" s="45"/>
      <c r="M76" s="44"/>
      <c r="N76" s="46"/>
    </row>
    <row r="77" spans="2:14" s="48" customFormat="1" ht="12">
      <c r="B77" s="53"/>
      <c r="C77" s="78"/>
      <c r="D77" s="70"/>
      <c r="E77" s="45"/>
      <c r="F77" s="45"/>
      <c r="G77" s="45"/>
      <c r="H77" s="44"/>
      <c r="I77" s="70"/>
      <c r="J77" s="45"/>
      <c r="K77" s="45"/>
      <c r="L77" s="45"/>
      <c r="M77" s="44"/>
      <c r="N77" s="46"/>
    </row>
    <row r="78" spans="2:14" s="48" customFormat="1" ht="12">
      <c r="B78" s="53"/>
      <c r="C78" s="78"/>
      <c r="D78" s="70"/>
      <c r="E78" s="45"/>
      <c r="F78" s="45"/>
      <c r="G78" s="45"/>
      <c r="H78" s="44"/>
      <c r="I78" s="70"/>
      <c r="J78" s="45"/>
      <c r="K78" s="45"/>
      <c r="L78" s="45"/>
      <c r="M78" s="44"/>
      <c r="N78" s="46"/>
    </row>
    <row r="79" spans="2:14" s="48" customFormat="1" ht="12">
      <c r="B79" s="53"/>
      <c r="C79" s="78"/>
      <c r="D79" s="70"/>
      <c r="E79" s="45"/>
      <c r="F79" s="45"/>
      <c r="G79" s="45"/>
      <c r="H79" s="44"/>
      <c r="I79" s="70"/>
      <c r="J79" s="45"/>
      <c r="K79" s="45"/>
      <c r="L79" s="45"/>
      <c r="M79" s="44"/>
      <c r="N79" s="46"/>
    </row>
    <row r="80" spans="2:14" s="48" customFormat="1" ht="12">
      <c r="B80" s="53"/>
      <c r="C80" s="78"/>
      <c r="D80" s="70"/>
      <c r="E80" s="45"/>
      <c r="F80" s="45"/>
      <c r="G80" s="45"/>
      <c r="H80" s="44"/>
      <c r="I80" s="70"/>
      <c r="J80" s="45"/>
      <c r="K80" s="45"/>
      <c r="L80" s="45"/>
      <c r="M80" s="44"/>
      <c r="N80" s="46"/>
    </row>
    <row r="81" spans="2:14" s="48" customFormat="1" ht="12">
      <c r="B81" s="53"/>
      <c r="C81" s="78"/>
      <c r="D81" s="70"/>
      <c r="E81" s="45"/>
      <c r="F81" s="45"/>
      <c r="G81" s="45"/>
      <c r="H81" s="44"/>
      <c r="I81" s="70"/>
      <c r="J81" s="45"/>
      <c r="K81" s="45"/>
      <c r="L81" s="45"/>
      <c r="M81" s="44"/>
      <c r="N81" s="46"/>
    </row>
    <row r="82" spans="2:14" s="48" customFormat="1" ht="12">
      <c r="B82" s="53"/>
      <c r="C82" s="78"/>
      <c r="D82" s="70"/>
      <c r="E82" s="45"/>
      <c r="F82" s="45"/>
      <c r="G82" s="45"/>
      <c r="H82" s="44"/>
      <c r="I82" s="70"/>
      <c r="J82" s="45"/>
      <c r="K82" s="45"/>
      <c r="L82" s="45"/>
      <c r="M82" s="44"/>
      <c r="N82" s="46"/>
    </row>
    <row r="83" spans="2:14" s="48" customFormat="1" ht="12">
      <c r="B83" s="53"/>
      <c r="C83" s="78"/>
      <c r="D83" s="70"/>
      <c r="E83" s="45"/>
      <c r="F83" s="45"/>
      <c r="G83" s="45"/>
      <c r="H83" s="44"/>
      <c r="I83" s="70"/>
      <c r="J83" s="45"/>
      <c r="K83" s="45"/>
      <c r="L83" s="45"/>
      <c r="M83" s="44"/>
      <c r="N83" s="46"/>
    </row>
    <row r="84" spans="2:14" s="48" customFormat="1" ht="12">
      <c r="B84" s="53"/>
      <c r="C84" s="78"/>
      <c r="D84" s="70"/>
      <c r="E84" s="45"/>
      <c r="F84" s="45"/>
      <c r="G84" s="45"/>
      <c r="H84" s="44"/>
      <c r="I84" s="70"/>
      <c r="J84" s="45"/>
      <c r="K84" s="45"/>
      <c r="L84" s="45"/>
      <c r="M84" s="44"/>
      <c r="N84" s="46"/>
    </row>
    <row r="85" spans="2:14" s="48" customFormat="1" ht="12">
      <c r="B85" s="53"/>
      <c r="C85" s="78"/>
      <c r="D85" s="70"/>
      <c r="E85" s="45"/>
      <c r="F85" s="45"/>
      <c r="G85" s="45"/>
      <c r="H85" s="44"/>
      <c r="I85" s="70"/>
      <c r="J85" s="45"/>
      <c r="K85" s="45"/>
      <c r="L85" s="45"/>
      <c r="M85" s="44"/>
      <c r="N85" s="46"/>
    </row>
    <row r="86" spans="2:14" s="48" customFormat="1" ht="12">
      <c r="B86" s="53"/>
      <c r="C86" s="78"/>
      <c r="D86" s="70"/>
      <c r="E86" s="45"/>
      <c r="F86" s="45"/>
      <c r="G86" s="45"/>
      <c r="H86" s="44"/>
      <c r="I86" s="70"/>
      <c r="J86" s="45"/>
      <c r="K86" s="45"/>
      <c r="L86" s="45"/>
      <c r="M86" s="44"/>
      <c r="N86" s="46"/>
    </row>
    <row r="87" spans="2:14" s="48" customFormat="1" ht="12">
      <c r="B87" s="53"/>
      <c r="C87" s="78"/>
      <c r="D87" s="70"/>
      <c r="E87" s="45"/>
      <c r="F87" s="45"/>
      <c r="G87" s="45"/>
      <c r="H87" s="44"/>
      <c r="I87" s="70"/>
      <c r="J87" s="45"/>
      <c r="K87" s="45"/>
      <c r="L87" s="45"/>
      <c r="M87" s="44"/>
      <c r="N87" s="46"/>
    </row>
    <row r="88" spans="2:14" s="48" customFormat="1" ht="12">
      <c r="B88" s="53"/>
      <c r="C88" s="78"/>
      <c r="D88" s="70"/>
      <c r="E88" s="45"/>
      <c r="F88" s="45"/>
      <c r="G88" s="45"/>
      <c r="H88" s="44"/>
      <c r="I88" s="70"/>
      <c r="J88" s="45"/>
      <c r="K88" s="45"/>
      <c r="L88" s="45"/>
      <c r="M88" s="44"/>
      <c r="N88" s="46"/>
    </row>
    <row r="89" spans="2:14" s="48" customFormat="1" ht="12">
      <c r="B89" s="53"/>
      <c r="C89" s="78"/>
      <c r="D89" s="70"/>
      <c r="E89" s="45"/>
      <c r="F89" s="45"/>
      <c r="G89" s="45"/>
      <c r="H89" s="44"/>
      <c r="I89" s="70"/>
      <c r="J89" s="45"/>
      <c r="K89" s="45"/>
      <c r="L89" s="45"/>
      <c r="M89" s="44"/>
      <c r="N89" s="46"/>
    </row>
    <row r="90" spans="2:14" s="48" customFormat="1" ht="12">
      <c r="B90" s="53"/>
      <c r="C90" s="78"/>
      <c r="D90" s="70"/>
      <c r="E90" s="45"/>
      <c r="F90" s="45"/>
      <c r="G90" s="45"/>
      <c r="H90" s="44"/>
      <c r="I90" s="70"/>
      <c r="J90" s="45"/>
      <c r="K90" s="45"/>
      <c r="L90" s="45"/>
      <c r="M90" s="44"/>
      <c r="N90" s="46"/>
    </row>
    <row r="91" spans="2:14" s="48" customFormat="1" ht="12">
      <c r="B91" s="53"/>
      <c r="C91" s="78"/>
      <c r="D91" s="70"/>
      <c r="E91" s="45"/>
      <c r="F91" s="45"/>
      <c r="G91" s="45"/>
      <c r="H91" s="44"/>
      <c r="I91" s="70"/>
      <c r="J91" s="45"/>
      <c r="K91" s="45"/>
      <c r="L91" s="45"/>
      <c r="M91" s="44"/>
      <c r="N91" s="46"/>
    </row>
    <row r="92" spans="2:14" s="48" customFormat="1" ht="12">
      <c r="B92" s="53"/>
      <c r="C92" s="78"/>
      <c r="D92" s="70"/>
      <c r="E92" s="45"/>
      <c r="F92" s="45"/>
      <c r="G92" s="45"/>
      <c r="H92" s="44"/>
      <c r="I92" s="70"/>
      <c r="J92" s="45"/>
      <c r="K92" s="45"/>
      <c r="L92" s="45"/>
      <c r="M92" s="44"/>
      <c r="N92" s="46"/>
    </row>
    <row r="93" spans="2:14" s="48" customFormat="1" ht="12">
      <c r="B93" s="53"/>
      <c r="C93" s="78"/>
      <c r="D93" s="70"/>
      <c r="E93" s="45"/>
      <c r="F93" s="45"/>
      <c r="G93" s="45"/>
      <c r="H93" s="44"/>
      <c r="I93" s="70"/>
      <c r="J93" s="45"/>
      <c r="K93" s="45"/>
      <c r="L93" s="45"/>
      <c r="M93" s="44"/>
      <c r="N93" s="46"/>
    </row>
    <row r="94" spans="2:14" s="48" customFormat="1" ht="12">
      <c r="B94" s="53"/>
      <c r="C94" s="78"/>
      <c r="D94" s="70"/>
      <c r="E94" s="45"/>
      <c r="F94" s="45"/>
      <c r="G94" s="45"/>
      <c r="H94" s="44"/>
      <c r="I94" s="70"/>
      <c r="J94" s="45"/>
      <c r="K94" s="45"/>
      <c r="L94" s="45"/>
      <c r="M94" s="44"/>
      <c r="N94" s="46"/>
    </row>
    <row r="95" spans="2:14" s="48" customFormat="1" ht="12">
      <c r="B95" s="53"/>
      <c r="C95" s="78"/>
      <c r="D95" s="70"/>
      <c r="E95" s="45"/>
      <c r="F95" s="45"/>
      <c r="G95" s="45"/>
      <c r="H95" s="44"/>
      <c r="I95" s="70"/>
      <c r="J95" s="45"/>
      <c r="K95" s="45"/>
      <c r="L95" s="45"/>
      <c r="M95" s="44"/>
      <c r="N95" s="46"/>
    </row>
    <row r="96" spans="2:14" s="48" customFormat="1" ht="12">
      <c r="B96" s="53"/>
      <c r="C96" s="78"/>
      <c r="D96" s="70"/>
      <c r="E96" s="45"/>
      <c r="F96" s="45"/>
      <c r="G96" s="45"/>
      <c r="H96" s="44"/>
      <c r="I96" s="70"/>
      <c r="J96" s="45"/>
      <c r="K96" s="45"/>
      <c r="L96" s="45"/>
      <c r="M96" s="44"/>
      <c r="N96" s="46"/>
    </row>
    <row r="97" spans="2:14" s="48" customFormat="1" ht="12">
      <c r="B97" s="53"/>
      <c r="C97" s="78"/>
      <c r="D97" s="70"/>
      <c r="E97" s="45"/>
      <c r="F97" s="45"/>
      <c r="G97" s="45"/>
      <c r="H97" s="44"/>
      <c r="I97" s="70"/>
      <c r="J97" s="45"/>
      <c r="K97" s="45"/>
      <c r="L97" s="45"/>
      <c r="M97" s="44"/>
      <c r="N97" s="46"/>
    </row>
    <row r="98" spans="2:14" s="48" customFormat="1" ht="12">
      <c r="B98" s="53"/>
      <c r="C98" s="78"/>
      <c r="D98" s="70"/>
      <c r="E98" s="45"/>
      <c r="F98" s="45"/>
      <c r="G98" s="45"/>
      <c r="H98" s="44"/>
      <c r="I98" s="70"/>
      <c r="J98" s="45"/>
      <c r="K98" s="45"/>
      <c r="L98" s="45"/>
      <c r="M98" s="44"/>
      <c r="N98" s="46"/>
    </row>
    <row r="99" spans="2:14" s="48" customFormat="1" ht="12">
      <c r="B99" s="53"/>
      <c r="C99" s="78"/>
      <c r="D99" s="70"/>
      <c r="E99" s="45"/>
      <c r="F99" s="45"/>
      <c r="G99" s="45"/>
      <c r="H99" s="44"/>
      <c r="I99" s="70"/>
      <c r="J99" s="45"/>
      <c r="K99" s="45"/>
      <c r="L99" s="45"/>
      <c r="M99" s="44"/>
      <c r="N99" s="46"/>
    </row>
    <row r="100" spans="2:14" s="48" customFormat="1" ht="12">
      <c r="B100" s="53"/>
      <c r="C100" s="78"/>
      <c r="D100" s="70"/>
      <c r="E100" s="45"/>
      <c r="F100" s="45"/>
      <c r="G100" s="45"/>
      <c r="H100" s="44"/>
      <c r="I100" s="70"/>
      <c r="J100" s="45"/>
      <c r="K100" s="45"/>
      <c r="L100" s="45"/>
      <c r="M100" s="44"/>
      <c r="N100" s="46"/>
    </row>
    <row r="101" spans="2:14" s="48" customFormat="1" ht="12">
      <c r="B101" s="53"/>
      <c r="C101" s="78"/>
      <c r="D101" s="70"/>
      <c r="E101" s="45"/>
      <c r="F101" s="45"/>
      <c r="G101" s="45"/>
      <c r="H101" s="44"/>
      <c r="I101" s="70"/>
      <c r="J101" s="45"/>
      <c r="K101" s="45"/>
      <c r="L101" s="45"/>
      <c r="M101" s="44"/>
      <c r="N101" s="46"/>
    </row>
    <row r="102" spans="2:14" s="48" customFormat="1" ht="12">
      <c r="B102" s="53"/>
      <c r="C102" s="78"/>
      <c r="D102" s="70"/>
      <c r="E102" s="45"/>
      <c r="F102" s="45"/>
      <c r="G102" s="45"/>
      <c r="H102" s="44"/>
      <c r="I102" s="70"/>
      <c r="J102" s="45"/>
      <c r="K102" s="45"/>
      <c r="L102" s="45"/>
      <c r="M102" s="44"/>
      <c r="N102" s="46"/>
    </row>
    <row r="103" spans="2:14" s="48" customFormat="1" ht="12">
      <c r="B103" s="53"/>
      <c r="C103" s="78"/>
      <c r="D103" s="70"/>
      <c r="E103" s="45"/>
      <c r="F103" s="45"/>
      <c r="G103" s="45"/>
      <c r="H103" s="44"/>
      <c r="I103" s="70"/>
      <c r="J103" s="45"/>
      <c r="K103" s="45"/>
      <c r="L103" s="45"/>
      <c r="M103" s="44"/>
      <c r="N103" s="46"/>
    </row>
    <row r="104" spans="2:14" s="48" customFormat="1" ht="12">
      <c r="B104" s="53"/>
      <c r="C104" s="78"/>
      <c r="D104" s="70"/>
      <c r="E104" s="45"/>
      <c r="F104" s="45"/>
      <c r="G104" s="45"/>
      <c r="H104" s="44"/>
      <c r="I104" s="70"/>
      <c r="J104" s="45"/>
      <c r="K104" s="45"/>
      <c r="L104" s="45"/>
      <c r="M104" s="44"/>
      <c r="N104" s="46"/>
    </row>
    <row r="105" spans="2:14" s="48" customFormat="1" ht="12">
      <c r="B105" s="53"/>
      <c r="C105" s="78"/>
      <c r="D105" s="70"/>
      <c r="E105" s="45"/>
      <c r="F105" s="45"/>
      <c r="G105" s="45"/>
      <c r="H105" s="44"/>
      <c r="I105" s="70"/>
      <c r="J105" s="45"/>
      <c r="K105" s="45"/>
      <c r="L105" s="45"/>
      <c r="M105" s="44"/>
      <c r="N105" s="46"/>
    </row>
    <row r="106" spans="2:14" s="48" customFormat="1" ht="12">
      <c r="B106" s="53"/>
      <c r="C106" s="78"/>
      <c r="D106" s="70"/>
      <c r="E106" s="45"/>
      <c r="F106" s="45"/>
      <c r="G106" s="45"/>
      <c r="H106" s="44"/>
      <c r="I106" s="70"/>
      <c r="J106" s="45"/>
      <c r="K106" s="45"/>
      <c r="L106" s="45"/>
      <c r="M106" s="44"/>
      <c r="N106" s="46"/>
    </row>
    <row r="107" spans="2:14" s="48" customFormat="1" ht="12">
      <c r="B107" s="53"/>
      <c r="C107" s="78"/>
      <c r="D107" s="70"/>
      <c r="E107" s="45"/>
      <c r="F107" s="45"/>
      <c r="G107" s="45"/>
      <c r="H107" s="44"/>
      <c r="I107" s="70"/>
      <c r="J107" s="45"/>
      <c r="K107" s="45"/>
      <c r="L107" s="45"/>
      <c r="M107" s="44"/>
      <c r="N107" s="46"/>
    </row>
    <row r="108" spans="2:14" s="48" customFormat="1" ht="12">
      <c r="B108" s="53"/>
      <c r="C108" s="78"/>
      <c r="D108" s="70"/>
      <c r="E108" s="45"/>
      <c r="F108" s="45"/>
      <c r="G108" s="45"/>
      <c r="H108" s="44"/>
      <c r="I108" s="70"/>
      <c r="J108" s="45"/>
      <c r="K108" s="45"/>
      <c r="L108" s="45"/>
      <c r="M108" s="44"/>
      <c r="N108" s="46"/>
    </row>
    <row r="109" spans="2:14" s="48" customFormat="1" ht="12">
      <c r="B109" s="53"/>
      <c r="C109" s="78"/>
      <c r="D109" s="70"/>
      <c r="E109" s="45"/>
      <c r="F109" s="45"/>
      <c r="G109" s="45"/>
      <c r="H109" s="44"/>
      <c r="I109" s="70"/>
      <c r="J109" s="45"/>
      <c r="K109" s="45"/>
      <c r="L109" s="45"/>
      <c r="M109" s="44"/>
      <c r="N109" s="46"/>
    </row>
    <row r="110" spans="2:14" s="48" customFormat="1" ht="12">
      <c r="B110" s="53"/>
      <c r="C110" s="78"/>
      <c r="D110" s="70"/>
      <c r="E110" s="45"/>
      <c r="F110" s="45"/>
      <c r="G110" s="45"/>
      <c r="H110" s="44"/>
      <c r="I110" s="70"/>
      <c r="J110" s="45"/>
      <c r="K110" s="45"/>
      <c r="L110" s="45"/>
      <c r="M110" s="44"/>
      <c r="N110" s="46"/>
    </row>
    <row r="111" spans="2:14" s="48" customFormat="1" ht="12">
      <c r="B111" s="53"/>
      <c r="C111" s="78"/>
      <c r="D111" s="70"/>
      <c r="E111" s="45"/>
      <c r="F111" s="45"/>
      <c r="G111" s="45"/>
      <c r="H111" s="44"/>
      <c r="I111" s="70"/>
      <c r="J111" s="45"/>
      <c r="K111" s="45"/>
      <c r="L111" s="45"/>
      <c r="M111" s="44"/>
      <c r="N111" s="46"/>
    </row>
    <row r="112" spans="2:14" s="48" customFormat="1" ht="12">
      <c r="B112" s="53"/>
      <c r="C112" s="78"/>
      <c r="D112" s="70"/>
      <c r="E112" s="45"/>
      <c r="F112" s="45"/>
      <c r="G112" s="45"/>
      <c r="H112" s="44"/>
      <c r="I112" s="70"/>
      <c r="J112" s="45"/>
      <c r="K112" s="45"/>
      <c r="L112" s="45"/>
      <c r="M112" s="44"/>
      <c r="N112" s="46"/>
    </row>
    <row r="113" spans="2:14" s="48" customFormat="1" ht="12">
      <c r="B113" s="53"/>
      <c r="C113" s="78"/>
      <c r="D113" s="70"/>
      <c r="E113" s="45"/>
      <c r="F113" s="45"/>
      <c r="G113" s="45"/>
      <c r="H113" s="44"/>
      <c r="I113" s="70"/>
      <c r="J113" s="45"/>
      <c r="K113" s="45"/>
      <c r="L113" s="45"/>
      <c r="M113" s="44"/>
      <c r="N113" s="46"/>
    </row>
    <row r="114" spans="2:14" s="48" customFormat="1" ht="12">
      <c r="B114" s="53"/>
      <c r="C114" s="78"/>
      <c r="D114" s="70"/>
      <c r="E114" s="45"/>
      <c r="F114" s="45"/>
      <c r="G114" s="45"/>
      <c r="H114" s="44"/>
      <c r="I114" s="70"/>
      <c r="J114" s="45"/>
      <c r="K114" s="45"/>
      <c r="L114" s="45"/>
      <c r="M114" s="44"/>
      <c r="N114" s="46"/>
    </row>
    <row r="115" spans="2:14" s="48" customFormat="1" ht="12">
      <c r="B115" s="53"/>
      <c r="C115" s="78"/>
      <c r="D115" s="70"/>
      <c r="E115" s="45"/>
      <c r="F115" s="45"/>
      <c r="G115" s="45"/>
      <c r="H115" s="44"/>
      <c r="I115" s="70"/>
      <c r="J115" s="45"/>
      <c r="K115" s="45"/>
      <c r="L115" s="45"/>
      <c r="M115" s="44"/>
      <c r="N115" s="46"/>
    </row>
    <row r="116" spans="2:14" s="48" customFormat="1" ht="12">
      <c r="B116" s="53"/>
      <c r="C116" s="78"/>
      <c r="D116" s="70"/>
      <c r="E116" s="45"/>
      <c r="F116" s="45"/>
      <c r="G116" s="45"/>
      <c r="H116" s="44"/>
      <c r="I116" s="70"/>
      <c r="J116" s="45"/>
      <c r="K116" s="45"/>
      <c r="L116" s="45"/>
      <c r="M116" s="44"/>
      <c r="N116" s="46"/>
    </row>
    <row r="117" spans="2:14" s="48" customFormat="1" ht="12">
      <c r="B117" s="53"/>
      <c r="C117" s="78"/>
      <c r="D117" s="70"/>
      <c r="E117" s="45"/>
      <c r="F117" s="45"/>
      <c r="G117" s="45"/>
      <c r="H117" s="44"/>
      <c r="I117" s="70"/>
      <c r="J117" s="45"/>
      <c r="K117" s="45"/>
      <c r="L117" s="45"/>
      <c r="M117" s="44"/>
      <c r="N117" s="46"/>
    </row>
    <row r="118" spans="2:14" s="48" customFormat="1" ht="12">
      <c r="B118" s="53"/>
      <c r="C118" s="78"/>
      <c r="D118" s="70"/>
      <c r="E118" s="45"/>
      <c r="F118" s="45"/>
      <c r="G118" s="45"/>
      <c r="H118" s="44"/>
      <c r="I118" s="70"/>
      <c r="J118" s="45"/>
      <c r="K118" s="45"/>
      <c r="L118" s="45"/>
      <c r="M118" s="44"/>
      <c r="N118" s="46"/>
    </row>
    <row r="119" spans="2:14" s="48" customFormat="1" ht="12">
      <c r="B119" s="53"/>
      <c r="C119" s="78"/>
      <c r="D119" s="70"/>
      <c r="E119" s="45"/>
      <c r="F119" s="45"/>
      <c r="G119" s="45"/>
      <c r="H119" s="44"/>
      <c r="I119" s="70"/>
      <c r="J119" s="45"/>
      <c r="K119" s="45"/>
      <c r="L119" s="45"/>
      <c r="M119" s="44"/>
      <c r="N119" s="46"/>
    </row>
    <row r="120" spans="2:14" s="48" customFormat="1" ht="12">
      <c r="B120" s="53"/>
      <c r="C120" s="78"/>
      <c r="D120" s="70"/>
      <c r="E120" s="45"/>
      <c r="F120" s="45"/>
      <c r="G120" s="45"/>
      <c r="H120" s="44"/>
      <c r="I120" s="70"/>
      <c r="J120" s="45"/>
      <c r="K120" s="45"/>
      <c r="L120" s="45"/>
      <c r="M120" s="44"/>
      <c r="N120" s="46"/>
    </row>
    <row r="121" spans="2:14" s="48" customFormat="1" ht="12">
      <c r="B121" s="53"/>
      <c r="C121" s="78"/>
      <c r="D121" s="70"/>
      <c r="E121" s="45"/>
      <c r="F121" s="45"/>
      <c r="G121" s="45"/>
      <c r="H121" s="44"/>
      <c r="I121" s="70"/>
      <c r="J121" s="45"/>
      <c r="K121" s="45"/>
      <c r="L121" s="45"/>
      <c r="M121" s="44"/>
      <c r="N121" s="46"/>
    </row>
    <row r="122" spans="2:14" s="48" customFormat="1" ht="12">
      <c r="B122" s="53"/>
      <c r="C122" s="78"/>
      <c r="D122" s="70"/>
      <c r="E122" s="45"/>
      <c r="F122" s="45"/>
      <c r="G122" s="45"/>
      <c r="H122" s="44"/>
      <c r="I122" s="70"/>
      <c r="J122" s="45"/>
      <c r="K122" s="45"/>
      <c r="L122" s="45"/>
      <c r="M122" s="44"/>
      <c r="N122" s="46"/>
    </row>
    <row r="123" spans="2:14" s="48" customFormat="1" ht="12">
      <c r="B123" s="53"/>
      <c r="C123" s="78"/>
      <c r="D123" s="70"/>
      <c r="E123" s="45"/>
      <c r="F123" s="45"/>
      <c r="G123" s="45"/>
      <c r="H123" s="44"/>
      <c r="I123" s="70"/>
      <c r="J123" s="45"/>
      <c r="K123" s="45"/>
      <c r="L123" s="45"/>
      <c r="M123" s="44"/>
      <c r="N123" s="46"/>
    </row>
    <row r="124" spans="2:14" s="48" customFormat="1" ht="12">
      <c r="B124" s="53"/>
      <c r="C124" s="78"/>
      <c r="D124" s="70"/>
      <c r="E124" s="45"/>
      <c r="F124" s="45"/>
      <c r="G124" s="45"/>
      <c r="H124" s="44"/>
      <c r="I124" s="70"/>
      <c r="J124" s="45"/>
      <c r="K124" s="45"/>
      <c r="L124" s="45"/>
      <c r="M124" s="44"/>
      <c r="N124" s="46"/>
    </row>
    <row r="125" spans="2:14" s="48" customFormat="1" ht="12">
      <c r="B125" s="53"/>
      <c r="C125" s="78"/>
      <c r="D125" s="70"/>
      <c r="E125" s="45"/>
      <c r="F125" s="45"/>
      <c r="G125" s="45"/>
      <c r="H125" s="44"/>
      <c r="I125" s="70"/>
      <c r="J125" s="45"/>
      <c r="K125" s="45"/>
      <c r="L125" s="45"/>
      <c r="M125" s="44"/>
      <c r="N125" s="46"/>
    </row>
    <row r="126" spans="2:14" s="48" customFormat="1" ht="12">
      <c r="B126" s="53"/>
      <c r="C126" s="78"/>
      <c r="D126" s="70"/>
      <c r="E126" s="45"/>
      <c r="F126" s="45"/>
      <c r="G126" s="45"/>
      <c r="H126" s="44"/>
      <c r="I126" s="70"/>
      <c r="J126" s="45"/>
      <c r="K126" s="45"/>
      <c r="L126" s="45"/>
      <c r="M126" s="44"/>
      <c r="N126" s="46"/>
    </row>
    <row r="127" spans="2:14" s="48" customFormat="1" ht="12">
      <c r="B127" s="53"/>
      <c r="C127" s="78"/>
      <c r="D127" s="70"/>
      <c r="E127" s="45"/>
      <c r="F127" s="45"/>
      <c r="G127" s="45"/>
      <c r="H127" s="44"/>
      <c r="I127" s="70"/>
      <c r="J127" s="45"/>
      <c r="K127" s="45"/>
      <c r="L127" s="45"/>
      <c r="M127" s="44"/>
      <c r="N127" s="46"/>
    </row>
    <row r="128" spans="2:14" s="48" customFormat="1" ht="12">
      <c r="B128" s="53"/>
      <c r="C128" s="78"/>
      <c r="D128" s="70"/>
      <c r="E128" s="45"/>
      <c r="F128" s="45"/>
      <c r="G128" s="45"/>
      <c r="H128" s="44"/>
      <c r="I128" s="70"/>
      <c r="J128" s="45"/>
      <c r="K128" s="45"/>
      <c r="L128" s="45"/>
      <c r="M128" s="44"/>
      <c r="N128" s="46"/>
    </row>
    <row r="129" spans="2:14" s="48" customFormat="1" ht="12">
      <c r="B129" s="53"/>
      <c r="C129" s="78"/>
      <c r="D129" s="70"/>
      <c r="E129" s="45"/>
      <c r="F129" s="45"/>
      <c r="G129" s="45"/>
      <c r="H129" s="44"/>
      <c r="I129" s="70"/>
      <c r="J129" s="45"/>
      <c r="K129" s="45"/>
      <c r="L129" s="45"/>
      <c r="M129" s="44"/>
      <c r="N129" s="46"/>
    </row>
    <row r="130" spans="2:14" s="48" customFormat="1" ht="12">
      <c r="B130" s="53"/>
      <c r="C130" s="78"/>
      <c r="D130" s="70"/>
      <c r="E130" s="45"/>
      <c r="F130" s="45"/>
      <c r="G130" s="45"/>
      <c r="H130" s="44"/>
      <c r="I130" s="70"/>
      <c r="J130" s="45"/>
      <c r="K130" s="45"/>
      <c r="L130" s="45"/>
      <c r="M130" s="44"/>
      <c r="N130" s="46"/>
    </row>
    <row r="131" spans="2:14" s="48" customFormat="1" ht="12">
      <c r="B131" s="53"/>
      <c r="C131" s="78"/>
      <c r="D131" s="70"/>
      <c r="E131" s="45"/>
      <c r="F131" s="45"/>
      <c r="G131" s="45"/>
      <c r="H131" s="44"/>
      <c r="I131" s="70"/>
      <c r="J131" s="45"/>
      <c r="K131" s="45"/>
      <c r="L131" s="45"/>
      <c r="M131" s="44"/>
      <c r="N131" s="46"/>
    </row>
    <row r="132" spans="2:14" s="48" customFormat="1" ht="12">
      <c r="B132" s="53"/>
      <c r="C132" s="78"/>
      <c r="D132" s="70"/>
      <c r="E132" s="45"/>
      <c r="F132" s="45"/>
      <c r="G132" s="45"/>
      <c r="H132" s="44"/>
      <c r="I132" s="70"/>
      <c r="J132" s="45"/>
      <c r="K132" s="45"/>
      <c r="L132" s="45"/>
      <c r="M132" s="44"/>
      <c r="N132" s="46"/>
    </row>
    <row r="133" spans="2:14" s="48" customFormat="1" ht="12">
      <c r="B133" s="53"/>
      <c r="C133" s="78"/>
      <c r="D133" s="70"/>
      <c r="E133" s="45"/>
      <c r="F133" s="45"/>
      <c r="G133" s="45"/>
      <c r="H133" s="44"/>
      <c r="I133" s="70"/>
      <c r="J133" s="45"/>
      <c r="K133" s="45"/>
      <c r="L133" s="45"/>
      <c r="M133" s="44"/>
      <c r="N133" s="46"/>
    </row>
    <row r="134" spans="2:14" s="48" customFormat="1" ht="12">
      <c r="B134" s="53"/>
      <c r="C134" s="78"/>
      <c r="D134" s="70"/>
      <c r="E134" s="45"/>
      <c r="F134" s="45"/>
      <c r="G134" s="45"/>
      <c r="H134" s="44"/>
      <c r="I134" s="70"/>
      <c r="J134" s="45"/>
      <c r="K134" s="45"/>
      <c r="L134" s="45"/>
      <c r="M134" s="44"/>
      <c r="N134" s="46"/>
    </row>
    <row r="135" spans="2:14" s="48" customFormat="1" ht="12">
      <c r="B135" s="53"/>
      <c r="C135" s="78"/>
      <c r="D135" s="70"/>
      <c r="E135" s="45"/>
      <c r="F135" s="45"/>
      <c r="G135" s="45"/>
      <c r="H135" s="44"/>
      <c r="I135" s="70"/>
      <c r="J135" s="45"/>
      <c r="K135" s="45"/>
      <c r="L135" s="45"/>
      <c r="M135" s="44"/>
      <c r="N135" s="46"/>
    </row>
    <row r="136" spans="2:14" s="48" customFormat="1" ht="12">
      <c r="B136" s="53"/>
      <c r="C136" s="78"/>
      <c r="D136" s="70"/>
      <c r="E136" s="45"/>
      <c r="F136" s="45"/>
      <c r="G136" s="45"/>
      <c r="H136" s="44"/>
      <c r="I136" s="70"/>
      <c r="J136" s="45"/>
      <c r="K136" s="45"/>
      <c r="L136" s="45"/>
      <c r="M136" s="44"/>
      <c r="N136" s="46"/>
    </row>
    <row r="137" spans="2:14" s="48" customFormat="1" ht="12">
      <c r="B137" s="53"/>
      <c r="C137" s="78"/>
      <c r="D137" s="70"/>
      <c r="E137" s="45"/>
      <c r="F137" s="45"/>
      <c r="G137" s="45"/>
      <c r="H137" s="44"/>
      <c r="I137" s="70"/>
      <c r="J137" s="45"/>
      <c r="K137" s="45"/>
      <c r="L137" s="45"/>
      <c r="M137" s="44"/>
      <c r="N137" s="46"/>
    </row>
    <row r="138" spans="2:14" s="48" customFormat="1" ht="12">
      <c r="B138" s="53"/>
      <c r="C138" s="78"/>
      <c r="D138" s="70"/>
      <c r="E138" s="45"/>
      <c r="F138" s="45"/>
      <c r="G138" s="45"/>
      <c r="H138" s="44"/>
      <c r="I138" s="70"/>
      <c r="J138" s="45"/>
      <c r="K138" s="45"/>
      <c r="L138" s="45"/>
      <c r="M138" s="44"/>
      <c r="N138" s="46"/>
    </row>
    <row r="139" spans="2:14" s="48" customFormat="1" ht="12">
      <c r="B139" s="53"/>
      <c r="C139" s="78"/>
      <c r="D139" s="70"/>
      <c r="E139" s="45"/>
      <c r="F139" s="45"/>
      <c r="G139" s="45"/>
      <c r="H139" s="44"/>
      <c r="I139" s="70"/>
      <c r="J139" s="45"/>
      <c r="K139" s="45"/>
      <c r="L139" s="45"/>
      <c r="M139" s="44"/>
      <c r="N139" s="46"/>
    </row>
    <row r="140" spans="2:14" s="48" customFormat="1" ht="12">
      <c r="B140" s="53"/>
      <c r="C140" s="78"/>
      <c r="D140" s="70"/>
      <c r="E140" s="45"/>
      <c r="F140" s="45"/>
      <c r="G140" s="45"/>
      <c r="H140" s="44"/>
      <c r="I140" s="70"/>
      <c r="J140" s="45"/>
      <c r="K140" s="45"/>
      <c r="L140" s="45"/>
      <c r="M140" s="44"/>
      <c r="N140" s="46"/>
    </row>
    <row r="141" spans="2:14" s="48" customFormat="1" ht="12">
      <c r="B141" s="53"/>
      <c r="C141" s="78"/>
      <c r="D141" s="70"/>
      <c r="E141" s="45"/>
      <c r="F141" s="45"/>
      <c r="G141" s="45"/>
      <c r="H141" s="44"/>
      <c r="I141" s="70"/>
      <c r="J141" s="45"/>
      <c r="K141" s="45"/>
      <c r="L141" s="45"/>
      <c r="M141" s="44"/>
      <c r="N141" s="46"/>
    </row>
    <row r="142" spans="2:14" s="48" customFormat="1" ht="12">
      <c r="B142" s="53"/>
      <c r="C142" s="78"/>
      <c r="D142" s="70"/>
      <c r="E142" s="45"/>
      <c r="F142" s="45"/>
      <c r="G142" s="45"/>
      <c r="H142" s="44"/>
      <c r="I142" s="70"/>
      <c r="J142" s="45"/>
      <c r="K142" s="45"/>
      <c r="L142" s="45"/>
      <c r="M142" s="44"/>
      <c r="N142" s="46"/>
    </row>
    <row r="143" spans="2:14" s="48" customFormat="1" ht="12">
      <c r="B143" s="53"/>
      <c r="C143" s="78"/>
      <c r="D143" s="70"/>
      <c r="E143" s="45"/>
      <c r="F143" s="45"/>
      <c r="G143" s="45"/>
      <c r="H143" s="44"/>
      <c r="I143" s="70"/>
      <c r="J143" s="45"/>
      <c r="K143" s="45"/>
      <c r="L143" s="45"/>
      <c r="M143" s="44"/>
      <c r="N143" s="46"/>
    </row>
    <row r="144" spans="2:14" s="48" customFormat="1" ht="12">
      <c r="B144" s="53"/>
      <c r="C144" s="78"/>
      <c r="D144" s="70"/>
      <c r="E144" s="45"/>
      <c r="F144" s="45"/>
      <c r="G144" s="45"/>
      <c r="H144" s="44"/>
      <c r="I144" s="70"/>
      <c r="J144" s="45"/>
      <c r="K144" s="45"/>
      <c r="L144" s="45"/>
      <c r="M144" s="44"/>
      <c r="N144" s="46"/>
    </row>
    <row r="145" spans="2:14" s="48" customFormat="1" ht="12">
      <c r="B145" s="53"/>
      <c r="C145" s="78"/>
      <c r="D145" s="70"/>
      <c r="E145" s="45"/>
      <c r="F145" s="45"/>
      <c r="G145" s="45"/>
      <c r="H145" s="44"/>
      <c r="I145" s="70"/>
      <c r="J145" s="45"/>
      <c r="K145" s="45"/>
      <c r="L145" s="45"/>
      <c r="M145" s="44"/>
      <c r="N145" s="46"/>
    </row>
    <row r="146" spans="2:14" s="48" customFormat="1" ht="12">
      <c r="B146" s="53"/>
      <c r="C146" s="78"/>
      <c r="D146" s="70"/>
      <c r="E146" s="45"/>
      <c r="F146" s="45"/>
      <c r="G146" s="45"/>
      <c r="H146" s="44"/>
      <c r="I146" s="70"/>
      <c r="J146" s="45"/>
      <c r="K146" s="45"/>
      <c r="L146" s="45"/>
      <c r="M146" s="44"/>
      <c r="N146" s="46"/>
    </row>
    <row r="147" spans="2:14" s="48" customFormat="1" ht="12">
      <c r="B147" s="53"/>
      <c r="C147" s="78"/>
      <c r="D147" s="70"/>
      <c r="E147" s="45"/>
      <c r="F147" s="45"/>
      <c r="G147" s="45"/>
      <c r="H147" s="44"/>
      <c r="I147" s="70"/>
      <c r="J147" s="45"/>
      <c r="K147" s="45"/>
      <c r="L147" s="45"/>
      <c r="M147" s="44"/>
      <c r="N147" s="46"/>
    </row>
    <row r="148" spans="2:14" s="48" customFormat="1" ht="12">
      <c r="B148" s="53"/>
      <c r="C148" s="78"/>
      <c r="D148" s="70"/>
      <c r="E148" s="45"/>
      <c r="F148" s="45"/>
      <c r="G148" s="45"/>
      <c r="H148" s="44"/>
      <c r="I148" s="70"/>
      <c r="J148" s="45"/>
      <c r="K148" s="45"/>
      <c r="L148" s="45"/>
      <c r="M148" s="44"/>
      <c r="N148" s="46"/>
    </row>
    <row r="149" spans="2:14" s="48" customFormat="1" ht="12">
      <c r="B149" s="53"/>
      <c r="C149" s="78"/>
      <c r="D149" s="70"/>
      <c r="E149" s="45"/>
      <c r="F149" s="45"/>
      <c r="G149" s="45"/>
      <c r="H149" s="44"/>
      <c r="I149" s="70"/>
      <c r="J149" s="45"/>
      <c r="K149" s="45"/>
      <c r="L149" s="45"/>
      <c r="M149" s="44"/>
      <c r="N149" s="46"/>
    </row>
    <row r="150" spans="2:14" s="48" customFormat="1" ht="12">
      <c r="B150" s="53"/>
      <c r="C150" s="78"/>
      <c r="D150" s="70"/>
      <c r="E150" s="45"/>
      <c r="F150" s="45"/>
      <c r="G150" s="45"/>
      <c r="H150" s="44"/>
      <c r="I150" s="70"/>
      <c r="J150" s="45"/>
      <c r="K150" s="45"/>
      <c r="L150" s="45"/>
      <c r="M150" s="44"/>
      <c r="N150" s="46"/>
    </row>
    <row r="151" spans="2:14" s="48" customFormat="1" ht="12">
      <c r="B151" s="53"/>
      <c r="C151" s="78"/>
      <c r="D151" s="70"/>
      <c r="E151" s="45"/>
      <c r="F151" s="45"/>
      <c r="G151" s="45"/>
      <c r="H151" s="44"/>
      <c r="I151" s="70"/>
      <c r="J151" s="45"/>
      <c r="K151" s="45"/>
      <c r="L151" s="45"/>
      <c r="M151" s="44"/>
      <c r="N151" s="46"/>
    </row>
    <row r="152" spans="2:14" s="48" customFormat="1" ht="12">
      <c r="B152" s="53"/>
      <c r="C152" s="78"/>
      <c r="D152" s="70"/>
      <c r="E152" s="45"/>
      <c r="F152" s="45"/>
      <c r="G152" s="45"/>
      <c r="H152" s="44"/>
      <c r="I152" s="70"/>
      <c r="J152" s="45"/>
      <c r="K152" s="45"/>
      <c r="L152" s="45"/>
      <c r="M152" s="44"/>
      <c r="N152" s="46"/>
    </row>
    <row r="153" spans="2:14" s="48" customFormat="1" ht="12">
      <c r="B153" s="53"/>
      <c r="C153" s="78"/>
      <c r="D153" s="70"/>
      <c r="E153" s="45"/>
      <c r="F153" s="45"/>
      <c r="G153" s="45"/>
      <c r="H153" s="44"/>
      <c r="I153" s="70"/>
      <c r="J153" s="45"/>
      <c r="K153" s="45"/>
      <c r="L153" s="45"/>
      <c r="M153" s="44"/>
      <c r="N153" s="46"/>
    </row>
    <row r="154" spans="2:14" s="48" customFormat="1" ht="12">
      <c r="B154" s="53"/>
      <c r="C154" s="78"/>
      <c r="D154" s="70"/>
      <c r="E154" s="45"/>
      <c r="F154" s="45"/>
      <c r="G154" s="45"/>
      <c r="H154" s="44"/>
      <c r="I154" s="70"/>
      <c r="J154" s="45"/>
      <c r="K154" s="45"/>
      <c r="L154" s="45"/>
      <c r="M154" s="44"/>
      <c r="N154" s="46"/>
    </row>
    <row r="155" spans="2:14" s="48" customFormat="1" ht="12">
      <c r="B155" s="53"/>
      <c r="C155" s="78"/>
      <c r="D155" s="70"/>
      <c r="E155" s="45"/>
      <c r="F155" s="45"/>
      <c r="G155" s="45"/>
      <c r="H155" s="44"/>
      <c r="I155" s="70"/>
      <c r="J155" s="45"/>
      <c r="K155" s="45"/>
      <c r="L155" s="45"/>
      <c r="M155" s="44"/>
      <c r="N155" s="46"/>
    </row>
    <row r="156" spans="2:14" s="48" customFormat="1" ht="12">
      <c r="B156" s="53"/>
      <c r="C156" s="78"/>
      <c r="D156" s="70"/>
      <c r="E156" s="45"/>
      <c r="F156" s="45"/>
      <c r="G156" s="45"/>
      <c r="H156" s="44"/>
      <c r="I156" s="70"/>
      <c r="J156" s="45"/>
      <c r="K156" s="45"/>
      <c r="L156" s="45"/>
      <c r="M156" s="44"/>
      <c r="N156" s="46"/>
    </row>
    <row r="157" spans="2:14" s="48" customFormat="1" ht="12">
      <c r="B157" s="53"/>
      <c r="C157" s="78"/>
      <c r="D157" s="70"/>
      <c r="E157" s="45"/>
      <c r="F157" s="45"/>
      <c r="G157" s="45"/>
      <c r="H157" s="44"/>
      <c r="I157" s="70"/>
      <c r="J157" s="45"/>
      <c r="K157" s="45"/>
      <c r="L157" s="45"/>
      <c r="M157" s="44"/>
      <c r="N157" s="46"/>
    </row>
    <row r="158" spans="2:14" s="48" customFormat="1" ht="12">
      <c r="B158" s="53"/>
      <c r="C158" s="78"/>
      <c r="D158" s="70"/>
      <c r="E158" s="45"/>
      <c r="F158" s="45"/>
      <c r="G158" s="45"/>
      <c r="H158" s="44"/>
      <c r="I158" s="70"/>
      <c r="J158" s="45"/>
      <c r="K158" s="45"/>
      <c r="L158" s="45"/>
      <c r="M158" s="44"/>
      <c r="N158" s="46"/>
    </row>
    <row r="159" spans="2:14" s="48" customFormat="1" ht="12">
      <c r="B159" s="53"/>
      <c r="C159" s="78"/>
      <c r="D159" s="70"/>
      <c r="E159" s="45"/>
      <c r="F159" s="45"/>
      <c r="G159" s="45"/>
      <c r="H159" s="44"/>
      <c r="I159" s="70"/>
      <c r="J159" s="45"/>
      <c r="K159" s="45"/>
      <c r="L159" s="45"/>
      <c r="M159" s="44"/>
      <c r="N159" s="46"/>
    </row>
    <row r="160" spans="2:14" s="48" customFormat="1" ht="12">
      <c r="B160" s="53"/>
      <c r="C160" s="78"/>
      <c r="D160" s="70"/>
      <c r="E160" s="45"/>
      <c r="F160" s="45"/>
      <c r="G160" s="45"/>
      <c r="H160" s="44"/>
      <c r="I160" s="70"/>
      <c r="J160" s="45"/>
      <c r="K160" s="45"/>
      <c r="L160" s="45"/>
      <c r="M160" s="44"/>
      <c r="N160" s="46"/>
    </row>
  </sheetData>
  <mergeCells count="1">
    <mergeCell ref="A18:B18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1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6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28125" style="69" customWidth="1"/>
    <col min="5" max="7" width="9.8515625" style="8" customWidth="1"/>
    <col min="8" max="8" width="3.8515625" style="91" customWidth="1"/>
    <col min="9" max="9" width="8.00390625" style="69" customWidth="1"/>
    <col min="10" max="12" width="9.85156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360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33"/>
    </row>
    <row r="5" spans="1:14" ht="39" customHeight="1">
      <c r="A5" s="112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96"/>
    </row>
    <row r="7" spans="1:14" s="42" customFormat="1" ht="24.75" customHeight="1">
      <c r="A7" s="56" t="s">
        <v>392</v>
      </c>
      <c r="B7" s="54"/>
      <c r="C7" s="64"/>
      <c r="D7" s="243">
        <f>SUM(D8:D8)</f>
        <v>300</v>
      </c>
      <c r="E7" s="243"/>
      <c r="F7" s="243"/>
      <c r="G7" s="243"/>
      <c r="H7" s="94"/>
      <c r="I7" s="243">
        <f>SUM(I8:I8)</f>
        <v>300</v>
      </c>
      <c r="J7" s="243"/>
      <c r="K7" s="243"/>
      <c r="L7" s="243"/>
      <c r="M7" s="82"/>
      <c r="N7" s="346"/>
    </row>
    <row r="8" spans="1:14" s="238" customFormat="1" ht="12">
      <c r="A8" s="155"/>
      <c r="B8" s="307" t="s">
        <v>254</v>
      </c>
      <c r="C8" s="64"/>
      <c r="D8" s="98">
        <v>300</v>
      </c>
      <c r="E8" s="98" t="s">
        <v>155</v>
      </c>
      <c r="F8" s="98" t="s">
        <v>145</v>
      </c>
      <c r="G8" s="259">
        <v>37105</v>
      </c>
      <c r="H8" s="236"/>
      <c r="I8" s="98">
        <v>300</v>
      </c>
      <c r="J8" s="98" t="s">
        <v>155</v>
      </c>
      <c r="K8" s="98" t="s">
        <v>145</v>
      </c>
      <c r="L8" s="259">
        <v>37203</v>
      </c>
      <c r="M8" s="235"/>
      <c r="N8" s="201"/>
    </row>
    <row r="9" spans="1:14" s="42" customFormat="1" ht="24.75" customHeight="1">
      <c r="A9" s="56" t="s">
        <v>393</v>
      </c>
      <c r="B9" s="54"/>
      <c r="C9" s="64"/>
      <c r="D9" s="243">
        <f>SUM(D10:D10)</f>
        <v>2</v>
      </c>
      <c r="E9" s="243"/>
      <c r="F9" s="243"/>
      <c r="G9" s="243"/>
      <c r="H9" s="94"/>
      <c r="I9" s="243">
        <f>SUM(I10:I10)</f>
        <v>2</v>
      </c>
      <c r="J9" s="243"/>
      <c r="K9" s="243"/>
      <c r="L9" s="243"/>
      <c r="M9" s="82"/>
      <c r="N9" s="346"/>
    </row>
    <row r="10" spans="1:14" s="48" customFormat="1" ht="12">
      <c r="A10" s="56"/>
      <c r="B10" s="260" t="s">
        <v>103</v>
      </c>
      <c r="C10" s="64"/>
      <c r="D10" s="98">
        <v>2</v>
      </c>
      <c r="E10" s="98" t="s">
        <v>155</v>
      </c>
      <c r="F10" s="98" t="s">
        <v>145</v>
      </c>
      <c r="G10" s="259">
        <v>37242</v>
      </c>
      <c r="H10" s="236"/>
      <c r="I10" s="98">
        <v>2</v>
      </c>
      <c r="J10" s="98" t="s">
        <v>155</v>
      </c>
      <c r="K10" s="98" t="s">
        <v>145</v>
      </c>
      <c r="L10" s="259">
        <v>37242</v>
      </c>
      <c r="M10" s="44"/>
      <c r="N10" s="346" t="s">
        <v>156</v>
      </c>
    </row>
    <row r="11" spans="1:14" s="48" customFormat="1" ht="48" customHeight="1">
      <c r="A11" s="568" t="s">
        <v>48</v>
      </c>
      <c r="B11" s="570"/>
      <c r="C11" s="64"/>
      <c r="D11" s="243">
        <f>SUM(D12)</f>
        <v>18</v>
      </c>
      <c r="E11" s="98"/>
      <c r="F11" s="98"/>
      <c r="G11" s="98"/>
      <c r="H11" s="49"/>
      <c r="I11" s="243">
        <f>SUM(I12)</f>
        <v>18</v>
      </c>
      <c r="J11" s="98"/>
      <c r="K11" s="98"/>
      <c r="L11" s="98"/>
      <c r="M11" s="44"/>
      <c r="N11" s="346"/>
    </row>
    <row r="12" spans="1:14" s="296" customFormat="1" ht="24">
      <c r="A12" s="465" t="s">
        <v>232</v>
      </c>
      <c r="B12" s="342" t="s">
        <v>233</v>
      </c>
      <c r="C12" s="64"/>
      <c r="D12" s="98">
        <v>18</v>
      </c>
      <c r="E12" s="98" t="s">
        <v>155</v>
      </c>
      <c r="F12" s="98" t="s">
        <v>145</v>
      </c>
      <c r="G12" s="259">
        <v>36950</v>
      </c>
      <c r="H12" s="236"/>
      <c r="I12" s="98">
        <v>18</v>
      </c>
      <c r="J12" s="98" t="s">
        <v>155</v>
      </c>
      <c r="K12" s="98" t="s">
        <v>145</v>
      </c>
      <c r="L12" s="259">
        <v>36950</v>
      </c>
      <c r="M12" s="235"/>
      <c r="N12" s="306" t="s">
        <v>156</v>
      </c>
    </row>
    <row r="13" spans="1:14" s="296" customFormat="1" ht="12">
      <c r="A13" s="351"/>
      <c r="B13" s="342"/>
      <c r="C13" s="64"/>
      <c r="D13" s="98"/>
      <c r="E13" s="98"/>
      <c r="F13" s="98"/>
      <c r="G13" s="259"/>
      <c r="H13" s="236"/>
      <c r="I13" s="98"/>
      <c r="J13" s="98"/>
      <c r="K13" s="98"/>
      <c r="L13" s="259"/>
      <c r="M13" s="235"/>
      <c r="N13" s="306"/>
    </row>
    <row r="14" spans="1:14" s="14" customFormat="1" ht="24" customHeight="1">
      <c r="A14" s="286"/>
      <c r="B14" s="462" t="s">
        <v>206</v>
      </c>
      <c r="C14" s="463"/>
      <c r="D14" s="271">
        <f>D9+D11+D7</f>
        <v>320</v>
      </c>
      <c r="E14" s="271"/>
      <c r="F14" s="271"/>
      <c r="G14" s="271"/>
      <c r="H14" s="280"/>
      <c r="I14" s="271">
        <f>I9+I11+I7</f>
        <v>320</v>
      </c>
      <c r="J14" s="271"/>
      <c r="K14" s="271"/>
      <c r="L14" s="271"/>
      <c r="M14" s="92"/>
      <c r="N14" s="158"/>
    </row>
    <row r="15" spans="2:14" s="48" customFormat="1" ht="12">
      <c r="B15" s="55"/>
      <c r="C15" s="78"/>
      <c r="D15" s="70"/>
      <c r="E15" s="45"/>
      <c r="F15" s="45"/>
      <c r="G15" s="45"/>
      <c r="H15" s="44"/>
      <c r="I15" s="70"/>
      <c r="J15" s="45"/>
      <c r="K15" s="45"/>
      <c r="L15" s="45"/>
      <c r="M15" s="44"/>
      <c r="N15" s="46"/>
    </row>
    <row r="16" spans="2:14" s="48" customFormat="1" ht="12">
      <c r="B16" s="53"/>
      <c r="C16" s="78"/>
      <c r="D16" s="70"/>
      <c r="E16" s="45"/>
      <c r="F16" s="45"/>
      <c r="G16" s="45"/>
      <c r="H16" s="44"/>
      <c r="I16" s="70"/>
      <c r="J16" s="45"/>
      <c r="K16" s="45"/>
      <c r="L16" s="45"/>
      <c r="M16" s="44"/>
      <c r="N16" s="46"/>
    </row>
    <row r="17" spans="2:14" s="48" customFormat="1" ht="12">
      <c r="B17" s="53"/>
      <c r="C17" s="78"/>
      <c r="D17" s="70"/>
      <c r="E17" s="45"/>
      <c r="F17" s="45"/>
      <c r="G17" s="45"/>
      <c r="H17" s="44"/>
      <c r="I17" s="70"/>
      <c r="J17" s="45"/>
      <c r="K17" s="45"/>
      <c r="L17" s="45"/>
      <c r="M17" s="44"/>
      <c r="N17" s="46"/>
    </row>
    <row r="18" spans="2:14" s="48" customFormat="1" ht="12">
      <c r="B18" s="53"/>
      <c r="C18" s="78"/>
      <c r="D18" s="70"/>
      <c r="E18" s="45"/>
      <c r="F18" s="45"/>
      <c r="G18" s="45"/>
      <c r="H18" s="44"/>
      <c r="I18" s="70"/>
      <c r="J18" s="45"/>
      <c r="K18" s="45"/>
      <c r="L18" s="45"/>
      <c r="M18" s="44"/>
      <c r="N18" s="46"/>
    </row>
    <row r="19" spans="2:14" s="48" customFormat="1" ht="12">
      <c r="B19" s="53"/>
      <c r="C19" s="78"/>
      <c r="D19" s="70"/>
      <c r="E19" s="45"/>
      <c r="F19" s="45"/>
      <c r="G19" s="45"/>
      <c r="H19" s="44"/>
      <c r="I19" s="70"/>
      <c r="J19" s="45"/>
      <c r="K19" s="45"/>
      <c r="L19" s="45"/>
      <c r="M19" s="44"/>
      <c r="N19" s="46"/>
    </row>
    <row r="20" spans="2:14" s="48" customFormat="1" ht="12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2:14" s="48" customFormat="1" ht="12">
      <c r="B21" s="53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  <row r="22" spans="2:14" s="48" customFormat="1" ht="12">
      <c r="B22" s="53"/>
      <c r="C22" s="78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2:14" s="48" customFormat="1" ht="12">
      <c r="B23" s="53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2:14" s="48" customFormat="1" ht="12">
      <c r="B24" s="53"/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  <row r="25" spans="2:14" s="48" customFormat="1" ht="12">
      <c r="B25" s="53"/>
      <c r="C25" s="78"/>
      <c r="D25" s="70"/>
      <c r="E25" s="45"/>
      <c r="F25" s="45"/>
      <c r="G25" s="45"/>
      <c r="H25" s="44"/>
      <c r="I25" s="70"/>
      <c r="J25" s="45"/>
      <c r="K25" s="45"/>
      <c r="L25" s="45"/>
      <c r="M25" s="44"/>
      <c r="N25" s="46"/>
    </row>
    <row r="26" spans="2:14" s="48" customFormat="1" ht="12">
      <c r="B26" s="53"/>
      <c r="C26" s="78"/>
      <c r="D26" s="70"/>
      <c r="E26" s="45"/>
      <c r="F26" s="45"/>
      <c r="G26" s="45"/>
      <c r="H26" s="44"/>
      <c r="I26" s="70"/>
      <c r="J26" s="45"/>
      <c r="K26" s="45"/>
      <c r="L26" s="45"/>
      <c r="M26" s="44"/>
      <c r="N26" s="46"/>
    </row>
    <row r="27" spans="2:14" s="48" customFormat="1" ht="12">
      <c r="B27" s="53"/>
      <c r="C27" s="78"/>
      <c r="D27" s="70"/>
      <c r="E27" s="45"/>
      <c r="F27" s="45"/>
      <c r="G27" s="45"/>
      <c r="H27" s="44"/>
      <c r="I27" s="70"/>
      <c r="J27" s="45"/>
      <c r="K27" s="45"/>
      <c r="L27" s="45"/>
      <c r="M27" s="44"/>
      <c r="N27" s="46"/>
    </row>
    <row r="28" spans="2:14" s="48" customFormat="1" ht="12">
      <c r="B28" s="53"/>
      <c r="C28" s="78"/>
      <c r="D28" s="70"/>
      <c r="E28" s="45"/>
      <c r="F28" s="45"/>
      <c r="G28" s="45"/>
      <c r="H28" s="44"/>
      <c r="I28" s="70"/>
      <c r="J28" s="45"/>
      <c r="K28" s="45"/>
      <c r="L28" s="45"/>
      <c r="M28" s="44"/>
      <c r="N28" s="46"/>
    </row>
    <row r="29" spans="2:14" s="48" customFormat="1" ht="12">
      <c r="B29" s="53"/>
      <c r="C29" s="78"/>
      <c r="D29" s="70"/>
      <c r="E29" s="45"/>
      <c r="F29" s="45"/>
      <c r="G29" s="45"/>
      <c r="H29" s="44"/>
      <c r="I29" s="70"/>
      <c r="J29" s="45"/>
      <c r="K29" s="45"/>
      <c r="L29" s="45"/>
      <c r="M29" s="44"/>
      <c r="N29" s="46"/>
    </row>
    <row r="30" spans="2:14" s="48" customFormat="1" ht="12">
      <c r="B30" s="53"/>
      <c r="C30" s="78"/>
      <c r="D30" s="70"/>
      <c r="E30" s="45"/>
      <c r="F30" s="45"/>
      <c r="G30" s="45"/>
      <c r="H30" s="44"/>
      <c r="I30" s="70"/>
      <c r="J30" s="45"/>
      <c r="K30" s="45"/>
      <c r="L30" s="45"/>
      <c r="M30" s="44"/>
      <c r="N30" s="46"/>
    </row>
    <row r="31" spans="2:14" s="48" customFormat="1" ht="12">
      <c r="B31" s="53"/>
      <c r="C31" s="78"/>
      <c r="D31" s="70"/>
      <c r="E31" s="45"/>
      <c r="F31" s="45"/>
      <c r="G31" s="45"/>
      <c r="H31" s="44"/>
      <c r="I31" s="70"/>
      <c r="J31" s="45"/>
      <c r="K31" s="45"/>
      <c r="L31" s="45"/>
      <c r="M31" s="44"/>
      <c r="N31" s="46"/>
    </row>
    <row r="32" spans="2:14" s="48" customFormat="1" ht="12">
      <c r="B32" s="53"/>
      <c r="C32" s="78"/>
      <c r="D32" s="70"/>
      <c r="E32" s="45"/>
      <c r="F32" s="45"/>
      <c r="G32" s="45"/>
      <c r="H32" s="44"/>
      <c r="I32" s="70"/>
      <c r="J32" s="45"/>
      <c r="K32" s="45"/>
      <c r="L32" s="45"/>
      <c r="M32" s="44"/>
      <c r="N32" s="46"/>
    </row>
    <row r="33" spans="2:14" s="48" customFormat="1" ht="12">
      <c r="B33" s="53"/>
      <c r="C33" s="78"/>
      <c r="D33" s="70"/>
      <c r="E33" s="45"/>
      <c r="F33" s="45"/>
      <c r="G33" s="45"/>
      <c r="H33" s="44"/>
      <c r="I33" s="70"/>
      <c r="J33" s="45"/>
      <c r="K33" s="45"/>
      <c r="L33" s="45"/>
      <c r="M33" s="44"/>
      <c r="N33" s="46"/>
    </row>
    <row r="34" spans="2:14" s="48" customFormat="1" ht="12">
      <c r="B34" s="53"/>
      <c r="C34" s="78"/>
      <c r="D34" s="70"/>
      <c r="E34" s="45"/>
      <c r="F34" s="45"/>
      <c r="G34" s="45"/>
      <c r="H34" s="44"/>
      <c r="I34" s="70"/>
      <c r="J34" s="45"/>
      <c r="K34" s="45"/>
      <c r="L34" s="45"/>
      <c r="M34" s="44"/>
      <c r="N34" s="46"/>
    </row>
    <row r="35" spans="2:14" s="48" customFormat="1" ht="12">
      <c r="B35" s="53"/>
      <c r="C35" s="78"/>
      <c r="D35" s="70"/>
      <c r="E35" s="45"/>
      <c r="F35" s="45"/>
      <c r="G35" s="45"/>
      <c r="H35" s="44"/>
      <c r="I35" s="70"/>
      <c r="J35" s="45"/>
      <c r="K35" s="45"/>
      <c r="L35" s="45"/>
      <c r="M35" s="44"/>
      <c r="N35" s="46"/>
    </row>
    <row r="36" spans="2:14" s="48" customFormat="1" ht="12">
      <c r="B36" s="53"/>
      <c r="C36" s="78"/>
      <c r="D36" s="70"/>
      <c r="E36" s="45"/>
      <c r="F36" s="45"/>
      <c r="G36" s="45"/>
      <c r="H36" s="44"/>
      <c r="I36" s="70"/>
      <c r="J36" s="45"/>
      <c r="K36" s="45"/>
      <c r="L36" s="45"/>
      <c r="M36" s="44"/>
      <c r="N36" s="46"/>
    </row>
    <row r="37" spans="2:14" s="48" customFormat="1" ht="12">
      <c r="B37" s="53"/>
      <c r="C37" s="78"/>
      <c r="D37" s="70"/>
      <c r="E37" s="45"/>
      <c r="F37" s="45"/>
      <c r="G37" s="45"/>
      <c r="H37" s="44"/>
      <c r="I37" s="70"/>
      <c r="J37" s="45"/>
      <c r="K37" s="45"/>
      <c r="L37" s="45"/>
      <c r="M37" s="44"/>
      <c r="N37" s="46"/>
    </row>
    <row r="38" spans="2:14" s="48" customFormat="1" ht="12">
      <c r="B38" s="53"/>
      <c r="C38" s="78"/>
      <c r="D38" s="70"/>
      <c r="E38" s="45"/>
      <c r="F38" s="45"/>
      <c r="G38" s="45"/>
      <c r="H38" s="44"/>
      <c r="I38" s="70"/>
      <c r="J38" s="45"/>
      <c r="K38" s="45"/>
      <c r="L38" s="45"/>
      <c r="M38" s="44"/>
      <c r="N38" s="46"/>
    </row>
    <row r="39" spans="2:14" s="48" customFormat="1" ht="12">
      <c r="B39" s="53"/>
      <c r="C39" s="78"/>
      <c r="D39" s="70"/>
      <c r="E39" s="45"/>
      <c r="F39" s="45"/>
      <c r="G39" s="45"/>
      <c r="H39" s="44"/>
      <c r="I39" s="70"/>
      <c r="J39" s="45"/>
      <c r="K39" s="45"/>
      <c r="L39" s="45"/>
      <c r="M39" s="44"/>
      <c r="N39" s="46"/>
    </row>
    <row r="40" spans="2:14" s="48" customFormat="1" ht="12">
      <c r="B40" s="53"/>
      <c r="C40" s="78"/>
      <c r="D40" s="70"/>
      <c r="E40" s="45"/>
      <c r="F40" s="45"/>
      <c r="G40" s="45"/>
      <c r="H40" s="44"/>
      <c r="I40" s="70"/>
      <c r="J40" s="45"/>
      <c r="K40" s="45"/>
      <c r="L40" s="45"/>
      <c r="M40" s="44"/>
      <c r="N40" s="46"/>
    </row>
    <row r="41" spans="2:14" s="48" customFormat="1" ht="12">
      <c r="B41" s="53"/>
      <c r="C41" s="78"/>
      <c r="D41" s="70"/>
      <c r="E41" s="45"/>
      <c r="F41" s="45"/>
      <c r="G41" s="45"/>
      <c r="H41" s="44"/>
      <c r="I41" s="70"/>
      <c r="J41" s="45"/>
      <c r="K41" s="45"/>
      <c r="L41" s="45"/>
      <c r="M41" s="44"/>
      <c r="N41" s="46"/>
    </row>
    <row r="42" spans="2:14" s="48" customFormat="1" ht="12">
      <c r="B42" s="53"/>
      <c r="C42" s="78"/>
      <c r="D42" s="70"/>
      <c r="E42" s="45"/>
      <c r="F42" s="45"/>
      <c r="G42" s="45"/>
      <c r="H42" s="44"/>
      <c r="I42" s="70"/>
      <c r="J42" s="45"/>
      <c r="K42" s="45"/>
      <c r="L42" s="45"/>
      <c r="M42" s="44"/>
      <c r="N42" s="46"/>
    </row>
    <row r="43" spans="2:14" s="48" customFormat="1" ht="12">
      <c r="B43" s="53"/>
      <c r="C43" s="78"/>
      <c r="D43" s="70"/>
      <c r="E43" s="45"/>
      <c r="F43" s="45"/>
      <c r="G43" s="45"/>
      <c r="H43" s="44"/>
      <c r="I43" s="70"/>
      <c r="J43" s="45"/>
      <c r="K43" s="45"/>
      <c r="L43" s="45"/>
      <c r="M43" s="44"/>
      <c r="N43" s="46"/>
    </row>
    <row r="44" spans="2:14" s="48" customFormat="1" ht="12">
      <c r="B44" s="53"/>
      <c r="C44" s="78"/>
      <c r="D44" s="70"/>
      <c r="E44" s="45"/>
      <c r="F44" s="45"/>
      <c r="G44" s="45"/>
      <c r="H44" s="44"/>
      <c r="I44" s="70"/>
      <c r="J44" s="45"/>
      <c r="K44" s="45"/>
      <c r="L44" s="45"/>
      <c r="M44" s="44"/>
      <c r="N44" s="46"/>
    </row>
    <row r="45" spans="2:14" s="48" customFormat="1" ht="12">
      <c r="B45" s="53"/>
      <c r="C45" s="78"/>
      <c r="D45" s="70"/>
      <c r="E45" s="45"/>
      <c r="F45" s="45"/>
      <c r="G45" s="45"/>
      <c r="H45" s="44"/>
      <c r="I45" s="70"/>
      <c r="J45" s="45"/>
      <c r="K45" s="45"/>
      <c r="L45" s="45"/>
      <c r="M45" s="44"/>
      <c r="N45" s="46"/>
    </row>
    <row r="46" spans="2:14" s="48" customFormat="1" ht="12">
      <c r="B46" s="53"/>
      <c r="C46" s="78"/>
      <c r="D46" s="70"/>
      <c r="E46" s="45"/>
      <c r="F46" s="45"/>
      <c r="G46" s="45"/>
      <c r="H46" s="44"/>
      <c r="I46" s="70"/>
      <c r="J46" s="45"/>
      <c r="K46" s="45"/>
      <c r="L46" s="45"/>
      <c r="M46" s="44"/>
      <c r="N46" s="46"/>
    </row>
    <row r="47" spans="2:14" s="48" customFormat="1" ht="12">
      <c r="B47" s="53"/>
      <c r="C47" s="78"/>
      <c r="D47" s="70"/>
      <c r="E47" s="45"/>
      <c r="F47" s="45"/>
      <c r="G47" s="45"/>
      <c r="H47" s="44"/>
      <c r="I47" s="70"/>
      <c r="J47" s="45"/>
      <c r="K47" s="45"/>
      <c r="L47" s="45"/>
      <c r="M47" s="44"/>
      <c r="N47" s="46"/>
    </row>
    <row r="48" spans="2:14" s="48" customFormat="1" ht="12">
      <c r="B48" s="53"/>
      <c r="C48" s="78"/>
      <c r="D48" s="70"/>
      <c r="E48" s="45"/>
      <c r="F48" s="45"/>
      <c r="G48" s="45"/>
      <c r="H48" s="44"/>
      <c r="I48" s="70"/>
      <c r="J48" s="45"/>
      <c r="K48" s="45"/>
      <c r="L48" s="45"/>
      <c r="M48" s="44"/>
      <c r="N48" s="46"/>
    </row>
    <row r="49" spans="2:14" s="48" customFormat="1" ht="12">
      <c r="B49" s="53"/>
      <c r="C49" s="78"/>
      <c r="D49" s="70"/>
      <c r="E49" s="45"/>
      <c r="F49" s="45"/>
      <c r="G49" s="45"/>
      <c r="H49" s="44"/>
      <c r="I49" s="70"/>
      <c r="J49" s="45"/>
      <c r="K49" s="45"/>
      <c r="L49" s="45"/>
      <c r="M49" s="44"/>
      <c r="N49" s="46"/>
    </row>
    <row r="50" spans="2:14" s="48" customFormat="1" ht="12">
      <c r="B50" s="53"/>
      <c r="C50" s="78"/>
      <c r="D50" s="70"/>
      <c r="E50" s="45"/>
      <c r="F50" s="45"/>
      <c r="G50" s="45"/>
      <c r="H50" s="44"/>
      <c r="I50" s="70"/>
      <c r="J50" s="45"/>
      <c r="K50" s="45"/>
      <c r="L50" s="45"/>
      <c r="M50" s="44"/>
      <c r="N50" s="46"/>
    </row>
    <row r="51" spans="2:14" s="48" customFormat="1" ht="12">
      <c r="B51" s="53"/>
      <c r="C51" s="78"/>
      <c r="D51" s="70"/>
      <c r="E51" s="45"/>
      <c r="F51" s="45"/>
      <c r="G51" s="45"/>
      <c r="H51" s="44"/>
      <c r="I51" s="70"/>
      <c r="J51" s="45"/>
      <c r="K51" s="45"/>
      <c r="L51" s="45"/>
      <c r="M51" s="44"/>
      <c r="N51" s="46"/>
    </row>
    <row r="52" spans="2:14" s="48" customFormat="1" ht="12">
      <c r="B52" s="53"/>
      <c r="C52" s="78"/>
      <c r="D52" s="70"/>
      <c r="E52" s="45"/>
      <c r="F52" s="45"/>
      <c r="G52" s="45"/>
      <c r="H52" s="44"/>
      <c r="I52" s="70"/>
      <c r="J52" s="45"/>
      <c r="K52" s="45"/>
      <c r="L52" s="45"/>
      <c r="M52" s="44"/>
      <c r="N52" s="46"/>
    </row>
    <row r="53" spans="2:14" s="48" customFormat="1" ht="12">
      <c r="B53" s="53"/>
      <c r="C53" s="78"/>
      <c r="D53" s="70"/>
      <c r="E53" s="45"/>
      <c r="F53" s="45"/>
      <c r="G53" s="45"/>
      <c r="H53" s="44"/>
      <c r="I53" s="70"/>
      <c r="J53" s="45"/>
      <c r="K53" s="45"/>
      <c r="L53" s="45"/>
      <c r="M53" s="44"/>
      <c r="N53" s="46"/>
    </row>
    <row r="54" spans="2:14" s="48" customFormat="1" ht="12">
      <c r="B54" s="53"/>
      <c r="C54" s="78"/>
      <c r="D54" s="70"/>
      <c r="E54" s="45"/>
      <c r="F54" s="45"/>
      <c r="G54" s="45"/>
      <c r="H54" s="44"/>
      <c r="I54" s="70"/>
      <c r="J54" s="45"/>
      <c r="K54" s="45"/>
      <c r="L54" s="45"/>
      <c r="M54" s="44"/>
      <c r="N54" s="46"/>
    </row>
    <row r="55" spans="2:14" s="48" customFormat="1" ht="12">
      <c r="B55" s="53"/>
      <c r="C55" s="78"/>
      <c r="D55" s="70"/>
      <c r="E55" s="45"/>
      <c r="F55" s="45"/>
      <c r="G55" s="45"/>
      <c r="H55" s="44"/>
      <c r="I55" s="70"/>
      <c r="J55" s="45"/>
      <c r="K55" s="45"/>
      <c r="L55" s="45"/>
      <c r="M55" s="44"/>
      <c r="N55" s="46"/>
    </row>
    <row r="56" spans="2:14" s="48" customFormat="1" ht="12">
      <c r="B56" s="53"/>
      <c r="C56" s="78"/>
      <c r="D56" s="70"/>
      <c r="E56" s="45"/>
      <c r="F56" s="45"/>
      <c r="G56" s="45"/>
      <c r="H56" s="44"/>
      <c r="I56" s="70"/>
      <c r="J56" s="45"/>
      <c r="K56" s="45"/>
      <c r="L56" s="45"/>
      <c r="M56" s="44"/>
      <c r="N56" s="46"/>
    </row>
    <row r="57" spans="2:14" s="48" customFormat="1" ht="12">
      <c r="B57" s="53"/>
      <c r="C57" s="78"/>
      <c r="D57" s="70"/>
      <c r="E57" s="45"/>
      <c r="F57" s="45"/>
      <c r="G57" s="45"/>
      <c r="H57" s="44"/>
      <c r="I57" s="70"/>
      <c r="J57" s="45"/>
      <c r="K57" s="45"/>
      <c r="L57" s="45"/>
      <c r="M57" s="44"/>
      <c r="N57" s="46"/>
    </row>
    <row r="58" spans="2:14" s="48" customFormat="1" ht="12">
      <c r="B58" s="53"/>
      <c r="C58" s="78"/>
      <c r="D58" s="70"/>
      <c r="E58" s="45"/>
      <c r="F58" s="45"/>
      <c r="G58" s="45"/>
      <c r="H58" s="44"/>
      <c r="I58" s="70"/>
      <c r="J58" s="45"/>
      <c r="K58" s="45"/>
      <c r="L58" s="45"/>
      <c r="M58" s="44"/>
      <c r="N58" s="46"/>
    </row>
    <row r="59" spans="2:14" s="48" customFormat="1" ht="12">
      <c r="B59" s="53"/>
      <c r="C59" s="78"/>
      <c r="D59" s="70"/>
      <c r="E59" s="45"/>
      <c r="F59" s="45"/>
      <c r="G59" s="45"/>
      <c r="H59" s="44"/>
      <c r="I59" s="70"/>
      <c r="J59" s="45"/>
      <c r="K59" s="45"/>
      <c r="L59" s="45"/>
      <c r="M59" s="44"/>
      <c r="N59" s="46"/>
    </row>
    <row r="60" spans="2:14" s="48" customFormat="1" ht="12">
      <c r="B60" s="53"/>
      <c r="C60" s="78"/>
      <c r="D60" s="70"/>
      <c r="E60" s="45"/>
      <c r="F60" s="45"/>
      <c r="G60" s="45"/>
      <c r="H60" s="44"/>
      <c r="I60" s="70"/>
      <c r="J60" s="45"/>
      <c r="K60" s="45"/>
      <c r="L60" s="45"/>
      <c r="M60" s="44"/>
      <c r="N60" s="46"/>
    </row>
    <row r="61" spans="2:14" s="48" customFormat="1" ht="12">
      <c r="B61" s="53"/>
      <c r="C61" s="78"/>
      <c r="D61" s="70"/>
      <c r="E61" s="45"/>
      <c r="F61" s="45"/>
      <c r="G61" s="45"/>
      <c r="H61" s="44"/>
      <c r="I61" s="70"/>
      <c r="J61" s="45"/>
      <c r="K61" s="45"/>
      <c r="L61" s="45"/>
      <c r="M61" s="44"/>
      <c r="N61" s="46"/>
    </row>
    <row r="62" spans="2:14" s="48" customFormat="1" ht="12">
      <c r="B62" s="53"/>
      <c r="C62" s="78"/>
      <c r="D62" s="70"/>
      <c r="E62" s="45"/>
      <c r="F62" s="45"/>
      <c r="G62" s="45"/>
      <c r="H62" s="44"/>
      <c r="I62" s="70"/>
      <c r="J62" s="45"/>
      <c r="K62" s="45"/>
      <c r="L62" s="45"/>
      <c r="M62" s="44"/>
      <c r="N62" s="46"/>
    </row>
    <row r="63" spans="2:14" s="48" customFormat="1" ht="12">
      <c r="B63" s="53"/>
      <c r="C63" s="78"/>
      <c r="D63" s="70"/>
      <c r="E63" s="45"/>
      <c r="F63" s="45"/>
      <c r="G63" s="45"/>
      <c r="H63" s="44"/>
      <c r="I63" s="70"/>
      <c r="J63" s="45"/>
      <c r="K63" s="45"/>
      <c r="L63" s="45"/>
      <c r="M63" s="44"/>
      <c r="N63" s="46"/>
    </row>
    <row r="64" spans="2:14" s="48" customFormat="1" ht="12">
      <c r="B64" s="53"/>
      <c r="C64" s="78"/>
      <c r="D64" s="70"/>
      <c r="E64" s="45"/>
      <c r="F64" s="45"/>
      <c r="G64" s="45"/>
      <c r="H64" s="44"/>
      <c r="I64" s="70"/>
      <c r="J64" s="45"/>
      <c r="K64" s="45"/>
      <c r="L64" s="45"/>
      <c r="M64" s="44"/>
      <c r="N64" s="46"/>
    </row>
    <row r="65" spans="2:14" s="48" customFormat="1" ht="12">
      <c r="B65" s="53"/>
      <c r="C65" s="78"/>
      <c r="D65" s="70"/>
      <c r="E65" s="45"/>
      <c r="F65" s="45"/>
      <c r="G65" s="45"/>
      <c r="H65" s="44"/>
      <c r="I65" s="70"/>
      <c r="J65" s="45"/>
      <c r="K65" s="45"/>
      <c r="L65" s="45"/>
      <c r="M65" s="44"/>
      <c r="N65" s="46"/>
    </row>
    <row r="66" spans="2:14" s="48" customFormat="1" ht="12">
      <c r="B66" s="53"/>
      <c r="C66" s="78"/>
      <c r="D66" s="70"/>
      <c r="E66" s="45"/>
      <c r="F66" s="45"/>
      <c r="G66" s="45"/>
      <c r="H66" s="44"/>
      <c r="I66" s="70"/>
      <c r="J66" s="45"/>
      <c r="K66" s="45"/>
      <c r="L66" s="45"/>
      <c r="M66" s="44"/>
      <c r="N66" s="46"/>
    </row>
    <row r="67" spans="2:14" s="48" customFormat="1" ht="12">
      <c r="B67" s="53"/>
      <c r="C67" s="78"/>
      <c r="D67" s="70"/>
      <c r="E67" s="45"/>
      <c r="F67" s="45"/>
      <c r="G67" s="45"/>
      <c r="H67" s="44"/>
      <c r="I67" s="70"/>
      <c r="J67" s="45"/>
      <c r="K67" s="45"/>
      <c r="L67" s="45"/>
      <c r="M67" s="44"/>
      <c r="N67" s="46"/>
    </row>
    <row r="68" spans="2:14" s="48" customFormat="1" ht="12">
      <c r="B68" s="53"/>
      <c r="C68" s="78"/>
      <c r="D68" s="70"/>
      <c r="E68" s="45"/>
      <c r="F68" s="45"/>
      <c r="G68" s="45"/>
      <c r="H68" s="44"/>
      <c r="I68" s="70"/>
      <c r="J68" s="45"/>
      <c r="K68" s="45"/>
      <c r="L68" s="45"/>
      <c r="M68" s="44"/>
      <c r="N68" s="46"/>
    </row>
    <row r="69" spans="2:14" s="48" customFormat="1" ht="12">
      <c r="B69" s="53"/>
      <c r="C69" s="78"/>
      <c r="D69" s="70"/>
      <c r="E69" s="45"/>
      <c r="F69" s="45"/>
      <c r="G69" s="45"/>
      <c r="H69" s="44"/>
      <c r="I69" s="70"/>
      <c r="J69" s="45"/>
      <c r="K69" s="45"/>
      <c r="L69" s="45"/>
      <c r="M69" s="44"/>
      <c r="N69" s="46"/>
    </row>
    <row r="70" spans="2:14" s="48" customFormat="1" ht="12">
      <c r="B70" s="53"/>
      <c r="C70" s="78"/>
      <c r="D70" s="70"/>
      <c r="E70" s="45"/>
      <c r="F70" s="45"/>
      <c r="G70" s="45"/>
      <c r="H70" s="44"/>
      <c r="I70" s="70"/>
      <c r="J70" s="45"/>
      <c r="K70" s="45"/>
      <c r="L70" s="45"/>
      <c r="M70" s="44"/>
      <c r="N70" s="46"/>
    </row>
    <row r="71" spans="2:14" s="48" customFormat="1" ht="12">
      <c r="B71" s="53"/>
      <c r="C71" s="78"/>
      <c r="D71" s="70"/>
      <c r="E71" s="45"/>
      <c r="F71" s="45"/>
      <c r="G71" s="45"/>
      <c r="H71" s="44"/>
      <c r="I71" s="70"/>
      <c r="J71" s="45"/>
      <c r="K71" s="45"/>
      <c r="L71" s="45"/>
      <c r="M71" s="44"/>
      <c r="N71" s="46"/>
    </row>
    <row r="72" spans="2:14" s="48" customFormat="1" ht="12">
      <c r="B72" s="53"/>
      <c r="C72" s="78"/>
      <c r="D72" s="70"/>
      <c r="E72" s="45"/>
      <c r="F72" s="45"/>
      <c r="G72" s="45"/>
      <c r="H72" s="44"/>
      <c r="I72" s="70"/>
      <c r="J72" s="45"/>
      <c r="K72" s="45"/>
      <c r="L72" s="45"/>
      <c r="M72" s="44"/>
      <c r="N72" s="46"/>
    </row>
    <row r="73" spans="2:14" s="48" customFormat="1" ht="12">
      <c r="B73" s="53"/>
      <c r="C73" s="78"/>
      <c r="D73" s="70"/>
      <c r="E73" s="45"/>
      <c r="F73" s="45"/>
      <c r="G73" s="45"/>
      <c r="H73" s="44"/>
      <c r="I73" s="70"/>
      <c r="J73" s="45"/>
      <c r="K73" s="45"/>
      <c r="L73" s="45"/>
      <c r="M73" s="44"/>
      <c r="N73" s="46"/>
    </row>
    <row r="74" spans="2:14" s="48" customFormat="1" ht="12">
      <c r="B74" s="53"/>
      <c r="C74" s="78"/>
      <c r="D74" s="70"/>
      <c r="E74" s="45"/>
      <c r="F74" s="45"/>
      <c r="G74" s="45"/>
      <c r="H74" s="44"/>
      <c r="I74" s="70"/>
      <c r="J74" s="45"/>
      <c r="K74" s="45"/>
      <c r="L74" s="45"/>
      <c r="M74" s="44"/>
      <c r="N74" s="46"/>
    </row>
    <row r="75" spans="2:14" s="48" customFormat="1" ht="12">
      <c r="B75" s="53"/>
      <c r="C75" s="78"/>
      <c r="D75" s="70"/>
      <c r="E75" s="45"/>
      <c r="F75" s="45"/>
      <c r="G75" s="45"/>
      <c r="H75" s="44"/>
      <c r="I75" s="70"/>
      <c r="J75" s="45"/>
      <c r="K75" s="45"/>
      <c r="L75" s="45"/>
      <c r="M75" s="44"/>
      <c r="N75" s="46"/>
    </row>
    <row r="76" spans="2:14" s="48" customFormat="1" ht="12">
      <c r="B76" s="53"/>
      <c r="C76" s="78"/>
      <c r="D76" s="70"/>
      <c r="E76" s="45"/>
      <c r="F76" s="45"/>
      <c r="G76" s="45"/>
      <c r="H76" s="44"/>
      <c r="I76" s="70"/>
      <c r="J76" s="45"/>
      <c r="K76" s="45"/>
      <c r="L76" s="45"/>
      <c r="M76" s="44"/>
      <c r="N76" s="46"/>
    </row>
    <row r="77" spans="2:14" s="48" customFormat="1" ht="12">
      <c r="B77" s="53"/>
      <c r="C77" s="78"/>
      <c r="D77" s="70"/>
      <c r="E77" s="45"/>
      <c r="F77" s="45"/>
      <c r="G77" s="45"/>
      <c r="H77" s="44"/>
      <c r="I77" s="70"/>
      <c r="J77" s="45"/>
      <c r="K77" s="45"/>
      <c r="L77" s="45"/>
      <c r="M77" s="44"/>
      <c r="N77" s="46"/>
    </row>
    <row r="78" spans="2:14" s="48" customFormat="1" ht="12">
      <c r="B78" s="53"/>
      <c r="C78" s="78"/>
      <c r="D78" s="70"/>
      <c r="E78" s="45"/>
      <c r="F78" s="45"/>
      <c r="G78" s="45"/>
      <c r="H78" s="44"/>
      <c r="I78" s="70"/>
      <c r="J78" s="45"/>
      <c r="K78" s="45"/>
      <c r="L78" s="45"/>
      <c r="M78" s="44"/>
      <c r="N78" s="46"/>
    </row>
    <row r="79" spans="2:14" s="48" customFormat="1" ht="12">
      <c r="B79" s="53"/>
      <c r="C79" s="78"/>
      <c r="D79" s="70"/>
      <c r="E79" s="45"/>
      <c r="F79" s="45"/>
      <c r="G79" s="45"/>
      <c r="H79" s="44"/>
      <c r="I79" s="70"/>
      <c r="J79" s="45"/>
      <c r="K79" s="45"/>
      <c r="L79" s="45"/>
      <c r="M79" s="44"/>
      <c r="N79" s="46"/>
    </row>
    <row r="80" spans="2:14" s="48" customFormat="1" ht="12">
      <c r="B80" s="53"/>
      <c r="C80" s="78"/>
      <c r="D80" s="70"/>
      <c r="E80" s="45"/>
      <c r="F80" s="45"/>
      <c r="G80" s="45"/>
      <c r="H80" s="44"/>
      <c r="I80" s="70"/>
      <c r="J80" s="45"/>
      <c r="K80" s="45"/>
      <c r="L80" s="45"/>
      <c r="M80" s="44"/>
      <c r="N80" s="46"/>
    </row>
    <row r="81" spans="2:14" s="48" customFormat="1" ht="12">
      <c r="B81" s="53"/>
      <c r="C81" s="78"/>
      <c r="D81" s="70"/>
      <c r="E81" s="45"/>
      <c r="F81" s="45"/>
      <c r="G81" s="45"/>
      <c r="H81" s="44"/>
      <c r="I81" s="70"/>
      <c r="J81" s="45"/>
      <c r="K81" s="45"/>
      <c r="L81" s="45"/>
      <c r="M81" s="44"/>
      <c r="N81" s="46"/>
    </row>
    <row r="82" spans="2:14" s="48" customFormat="1" ht="12">
      <c r="B82" s="53"/>
      <c r="C82" s="78"/>
      <c r="D82" s="70"/>
      <c r="E82" s="45"/>
      <c r="F82" s="45"/>
      <c r="G82" s="45"/>
      <c r="H82" s="44"/>
      <c r="I82" s="70"/>
      <c r="J82" s="45"/>
      <c r="K82" s="45"/>
      <c r="L82" s="45"/>
      <c r="M82" s="44"/>
      <c r="N82" s="46"/>
    </row>
    <row r="83" spans="2:14" s="48" customFormat="1" ht="12">
      <c r="B83" s="53"/>
      <c r="C83" s="78"/>
      <c r="D83" s="70"/>
      <c r="E83" s="45"/>
      <c r="F83" s="45"/>
      <c r="G83" s="45"/>
      <c r="H83" s="44"/>
      <c r="I83" s="70"/>
      <c r="J83" s="45"/>
      <c r="K83" s="45"/>
      <c r="L83" s="45"/>
      <c r="M83" s="44"/>
      <c r="N83" s="46"/>
    </row>
    <row r="84" spans="2:14" s="48" customFormat="1" ht="12">
      <c r="B84" s="53"/>
      <c r="C84" s="78"/>
      <c r="D84" s="70"/>
      <c r="E84" s="45"/>
      <c r="F84" s="45"/>
      <c r="G84" s="45"/>
      <c r="H84" s="44"/>
      <c r="I84" s="70"/>
      <c r="J84" s="45"/>
      <c r="K84" s="45"/>
      <c r="L84" s="45"/>
      <c r="M84" s="44"/>
      <c r="N84" s="46"/>
    </row>
    <row r="85" spans="2:14" s="48" customFormat="1" ht="12">
      <c r="B85" s="53"/>
      <c r="C85" s="78"/>
      <c r="D85" s="70"/>
      <c r="E85" s="45"/>
      <c r="F85" s="45"/>
      <c r="G85" s="45"/>
      <c r="H85" s="44"/>
      <c r="I85" s="70"/>
      <c r="J85" s="45"/>
      <c r="K85" s="45"/>
      <c r="L85" s="45"/>
      <c r="M85" s="44"/>
      <c r="N85" s="46"/>
    </row>
    <row r="86" spans="2:14" s="48" customFormat="1" ht="12">
      <c r="B86" s="53"/>
      <c r="C86" s="78"/>
      <c r="D86" s="70"/>
      <c r="E86" s="45"/>
      <c r="F86" s="45"/>
      <c r="G86" s="45"/>
      <c r="H86" s="44"/>
      <c r="I86" s="70"/>
      <c r="J86" s="45"/>
      <c r="K86" s="45"/>
      <c r="L86" s="45"/>
      <c r="M86" s="44"/>
      <c r="N86" s="46"/>
    </row>
    <row r="87" spans="2:14" s="48" customFormat="1" ht="12">
      <c r="B87" s="53"/>
      <c r="C87" s="78"/>
      <c r="D87" s="70"/>
      <c r="E87" s="45"/>
      <c r="F87" s="45"/>
      <c r="G87" s="45"/>
      <c r="H87" s="44"/>
      <c r="I87" s="70"/>
      <c r="J87" s="45"/>
      <c r="K87" s="45"/>
      <c r="L87" s="45"/>
      <c r="M87" s="44"/>
      <c r="N87" s="46"/>
    </row>
    <row r="88" spans="2:14" s="48" customFormat="1" ht="12">
      <c r="B88" s="53"/>
      <c r="C88" s="78"/>
      <c r="D88" s="70"/>
      <c r="E88" s="45"/>
      <c r="F88" s="45"/>
      <c r="G88" s="45"/>
      <c r="H88" s="44"/>
      <c r="I88" s="70"/>
      <c r="J88" s="45"/>
      <c r="K88" s="45"/>
      <c r="L88" s="45"/>
      <c r="M88" s="44"/>
      <c r="N88" s="46"/>
    </row>
    <row r="89" spans="2:14" s="48" customFormat="1" ht="12">
      <c r="B89" s="53"/>
      <c r="C89" s="78"/>
      <c r="D89" s="70"/>
      <c r="E89" s="45"/>
      <c r="F89" s="45"/>
      <c r="G89" s="45"/>
      <c r="H89" s="44"/>
      <c r="I89" s="70"/>
      <c r="J89" s="45"/>
      <c r="K89" s="45"/>
      <c r="L89" s="45"/>
      <c r="M89" s="44"/>
      <c r="N89" s="46"/>
    </row>
    <row r="90" spans="2:14" s="48" customFormat="1" ht="12">
      <c r="B90" s="53"/>
      <c r="C90" s="78"/>
      <c r="D90" s="70"/>
      <c r="E90" s="45"/>
      <c r="F90" s="45"/>
      <c r="G90" s="45"/>
      <c r="H90" s="44"/>
      <c r="I90" s="70"/>
      <c r="J90" s="45"/>
      <c r="K90" s="45"/>
      <c r="L90" s="45"/>
      <c r="M90" s="44"/>
      <c r="N90" s="46"/>
    </row>
    <row r="91" spans="2:14" s="48" customFormat="1" ht="12">
      <c r="B91" s="53"/>
      <c r="C91" s="78"/>
      <c r="D91" s="70"/>
      <c r="E91" s="45"/>
      <c r="F91" s="45"/>
      <c r="G91" s="45"/>
      <c r="H91" s="44"/>
      <c r="I91" s="70"/>
      <c r="J91" s="45"/>
      <c r="K91" s="45"/>
      <c r="L91" s="45"/>
      <c r="M91" s="44"/>
      <c r="N91" s="46"/>
    </row>
    <row r="92" spans="2:14" s="48" customFormat="1" ht="12">
      <c r="B92" s="53"/>
      <c r="C92" s="78"/>
      <c r="D92" s="70"/>
      <c r="E92" s="45"/>
      <c r="F92" s="45"/>
      <c r="G92" s="45"/>
      <c r="H92" s="44"/>
      <c r="I92" s="70"/>
      <c r="J92" s="45"/>
      <c r="K92" s="45"/>
      <c r="L92" s="45"/>
      <c r="M92" s="44"/>
      <c r="N92" s="46"/>
    </row>
    <row r="93" spans="2:14" s="48" customFormat="1" ht="12">
      <c r="B93" s="53"/>
      <c r="C93" s="78"/>
      <c r="D93" s="70"/>
      <c r="E93" s="45"/>
      <c r="F93" s="45"/>
      <c r="G93" s="45"/>
      <c r="H93" s="44"/>
      <c r="I93" s="70"/>
      <c r="J93" s="45"/>
      <c r="K93" s="45"/>
      <c r="L93" s="45"/>
      <c r="M93" s="44"/>
      <c r="N93" s="46"/>
    </row>
    <row r="94" spans="2:14" s="48" customFormat="1" ht="12">
      <c r="B94" s="53"/>
      <c r="C94" s="78"/>
      <c r="D94" s="70"/>
      <c r="E94" s="45"/>
      <c r="F94" s="45"/>
      <c r="G94" s="45"/>
      <c r="H94" s="44"/>
      <c r="I94" s="70"/>
      <c r="J94" s="45"/>
      <c r="K94" s="45"/>
      <c r="L94" s="45"/>
      <c r="M94" s="44"/>
      <c r="N94" s="46"/>
    </row>
    <row r="95" spans="2:14" s="48" customFormat="1" ht="12">
      <c r="B95" s="53"/>
      <c r="C95" s="78"/>
      <c r="D95" s="70"/>
      <c r="E95" s="45"/>
      <c r="F95" s="45"/>
      <c r="G95" s="45"/>
      <c r="H95" s="44"/>
      <c r="I95" s="70"/>
      <c r="J95" s="45"/>
      <c r="K95" s="45"/>
      <c r="L95" s="45"/>
      <c r="M95" s="44"/>
      <c r="N95" s="46"/>
    </row>
    <row r="96" spans="2:14" s="48" customFormat="1" ht="12">
      <c r="B96" s="53"/>
      <c r="C96" s="78"/>
      <c r="D96" s="70"/>
      <c r="E96" s="45"/>
      <c r="F96" s="45"/>
      <c r="G96" s="45"/>
      <c r="H96" s="44"/>
      <c r="I96" s="70"/>
      <c r="J96" s="45"/>
      <c r="K96" s="45"/>
      <c r="L96" s="45"/>
      <c r="M96" s="44"/>
      <c r="N96" s="46"/>
    </row>
    <row r="97" spans="2:14" s="48" customFormat="1" ht="12">
      <c r="B97" s="53"/>
      <c r="C97" s="78"/>
      <c r="D97" s="70"/>
      <c r="E97" s="45"/>
      <c r="F97" s="45"/>
      <c r="G97" s="45"/>
      <c r="H97" s="44"/>
      <c r="I97" s="70"/>
      <c r="J97" s="45"/>
      <c r="K97" s="45"/>
      <c r="L97" s="45"/>
      <c r="M97" s="44"/>
      <c r="N97" s="46"/>
    </row>
    <row r="98" spans="2:14" s="48" customFormat="1" ht="12">
      <c r="B98" s="53"/>
      <c r="C98" s="78"/>
      <c r="D98" s="70"/>
      <c r="E98" s="45"/>
      <c r="F98" s="45"/>
      <c r="G98" s="45"/>
      <c r="H98" s="44"/>
      <c r="I98" s="70"/>
      <c r="J98" s="45"/>
      <c r="K98" s="45"/>
      <c r="L98" s="45"/>
      <c r="M98" s="44"/>
      <c r="N98" s="46"/>
    </row>
    <row r="99" spans="2:14" s="48" customFormat="1" ht="12">
      <c r="B99" s="53"/>
      <c r="C99" s="78"/>
      <c r="D99" s="70"/>
      <c r="E99" s="45"/>
      <c r="F99" s="45"/>
      <c r="G99" s="45"/>
      <c r="H99" s="44"/>
      <c r="I99" s="70"/>
      <c r="J99" s="45"/>
      <c r="K99" s="45"/>
      <c r="L99" s="45"/>
      <c r="M99" s="44"/>
      <c r="N99" s="46"/>
    </row>
    <row r="100" spans="2:14" s="48" customFormat="1" ht="12">
      <c r="B100" s="53"/>
      <c r="C100" s="78"/>
      <c r="D100" s="70"/>
      <c r="E100" s="45"/>
      <c r="F100" s="45"/>
      <c r="G100" s="45"/>
      <c r="H100" s="44"/>
      <c r="I100" s="70"/>
      <c r="J100" s="45"/>
      <c r="K100" s="45"/>
      <c r="L100" s="45"/>
      <c r="M100" s="44"/>
      <c r="N100" s="46"/>
    </row>
    <row r="101" spans="2:14" s="48" customFormat="1" ht="12">
      <c r="B101" s="53"/>
      <c r="C101" s="78"/>
      <c r="D101" s="70"/>
      <c r="E101" s="45"/>
      <c r="F101" s="45"/>
      <c r="G101" s="45"/>
      <c r="H101" s="44"/>
      <c r="I101" s="70"/>
      <c r="J101" s="45"/>
      <c r="K101" s="45"/>
      <c r="L101" s="45"/>
      <c r="M101" s="44"/>
      <c r="N101" s="46"/>
    </row>
    <row r="102" spans="2:14" s="48" customFormat="1" ht="12">
      <c r="B102" s="53"/>
      <c r="C102" s="78"/>
      <c r="D102" s="70"/>
      <c r="E102" s="45"/>
      <c r="F102" s="45"/>
      <c r="G102" s="45"/>
      <c r="H102" s="44"/>
      <c r="I102" s="70"/>
      <c r="J102" s="45"/>
      <c r="K102" s="45"/>
      <c r="L102" s="45"/>
      <c r="M102" s="44"/>
      <c r="N102" s="46"/>
    </row>
    <row r="103" spans="2:14" s="48" customFormat="1" ht="12">
      <c r="B103" s="53"/>
      <c r="C103" s="78"/>
      <c r="D103" s="70"/>
      <c r="E103" s="45"/>
      <c r="F103" s="45"/>
      <c r="G103" s="45"/>
      <c r="H103" s="44"/>
      <c r="I103" s="70"/>
      <c r="J103" s="45"/>
      <c r="K103" s="45"/>
      <c r="L103" s="45"/>
      <c r="M103" s="44"/>
      <c r="N103" s="46"/>
    </row>
    <row r="104" spans="2:14" s="48" customFormat="1" ht="12">
      <c r="B104" s="53"/>
      <c r="C104" s="78"/>
      <c r="D104" s="70"/>
      <c r="E104" s="45"/>
      <c r="F104" s="45"/>
      <c r="G104" s="45"/>
      <c r="H104" s="44"/>
      <c r="I104" s="70"/>
      <c r="J104" s="45"/>
      <c r="K104" s="45"/>
      <c r="L104" s="45"/>
      <c r="M104" s="44"/>
      <c r="N104" s="46"/>
    </row>
    <row r="105" spans="2:14" s="48" customFormat="1" ht="12">
      <c r="B105" s="53"/>
      <c r="C105" s="78"/>
      <c r="D105" s="70"/>
      <c r="E105" s="45"/>
      <c r="F105" s="45"/>
      <c r="G105" s="45"/>
      <c r="H105" s="44"/>
      <c r="I105" s="70"/>
      <c r="J105" s="45"/>
      <c r="K105" s="45"/>
      <c r="L105" s="45"/>
      <c r="M105" s="44"/>
      <c r="N105" s="46"/>
    </row>
    <row r="106" spans="2:14" s="48" customFormat="1" ht="12">
      <c r="B106" s="53"/>
      <c r="C106" s="78"/>
      <c r="D106" s="70"/>
      <c r="E106" s="45"/>
      <c r="F106" s="45"/>
      <c r="G106" s="45"/>
      <c r="H106" s="44"/>
      <c r="I106" s="70"/>
      <c r="J106" s="45"/>
      <c r="K106" s="45"/>
      <c r="L106" s="45"/>
      <c r="M106" s="44"/>
      <c r="N106" s="46"/>
    </row>
    <row r="107" spans="2:14" s="48" customFormat="1" ht="12">
      <c r="B107" s="53"/>
      <c r="C107" s="78"/>
      <c r="D107" s="70"/>
      <c r="E107" s="45"/>
      <c r="F107" s="45"/>
      <c r="G107" s="45"/>
      <c r="H107" s="44"/>
      <c r="I107" s="70"/>
      <c r="J107" s="45"/>
      <c r="K107" s="45"/>
      <c r="L107" s="45"/>
      <c r="M107" s="44"/>
      <c r="N107" s="46"/>
    </row>
    <row r="108" spans="2:14" s="48" customFormat="1" ht="12">
      <c r="B108" s="53"/>
      <c r="C108" s="78"/>
      <c r="D108" s="70"/>
      <c r="E108" s="45"/>
      <c r="F108" s="45"/>
      <c r="G108" s="45"/>
      <c r="H108" s="44"/>
      <c r="I108" s="70"/>
      <c r="J108" s="45"/>
      <c r="K108" s="45"/>
      <c r="L108" s="45"/>
      <c r="M108" s="44"/>
      <c r="N108" s="46"/>
    </row>
    <row r="109" spans="2:14" s="48" customFormat="1" ht="12">
      <c r="B109" s="53"/>
      <c r="C109" s="78"/>
      <c r="D109" s="70"/>
      <c r="E109" s="45"/>
      <c r="F109" s="45"/>
      <c r="G109" s="45"/>
      <c r="H109" s="44"/>
      <c r="I109" s="70"/>
      <c r="J109" s="45"/>
      <c r="K109" s="45"/>
      <c r="L109" s="45"/>
      <c r="M109" s="44"/>
      <c r="N109" s="46"/>
    </row>
    <row r="110" spans="2:14" s="48" customFormat="1" ht="12">
      <c r="B110" s="53"/>
      <c r="C110" s="78"/>
      <c r="D110" s="70"/>
      <c r="E110" s="45"/>
      <c r="F110" s="45"/>
      <c r="G110" s="45"/>
      <c r="H110" s="44"/>
      <c r="I110" s="70"/>
      <c r="J110" s="45"/>
      <c r="K110" s="45"/>
      <c r="L110" s="45"/>
      <c r="M110" s="44"/>
      <c r="N110" s="46"/>
    </row>
    <row r="111" spans="2:14" s="48" customFormat="1" ht="12">
      <c r="B111" s="53"/>
      <c r="C111" s="78"/>
      <c r="D111" s="70"/>
      <c r="E111" s="45"/>
      <c r="F111" s="45"/>
      <c r="G111" s="45"/>
      <c r="H111" s="44"/>
      <c r="I111" s="70"/>
      <c r="J111" s="45"/>
      <c r="K111" s="45"/>
      <c r="L111" s="45"/>
      <c r="M111" s="44"/>
      <c r="N111" s="46"/>
    </row>
    <row r="112" spans="2:14" s="48" customFormat="1" ht="12">
      <c r="B112" s="53"/>
      <c r="C112" s="78"/>
      <c r="D112" s="70"/>
      <c r="E112" s="45"/>
      <c r="F112" s="45"/>
      <c r="G112" s="45"/>
      <c r="H112" s="44"/>
      <c r="I112" s="70"/>
      <c r="J112" s="45"/>
      <c r="K112" s="45"/>
      <c r="L112" s="45"/>
      <c r="M112" s="44"/>
      <c r="N112" s="46"/>
    </row>
    <row r="113" spans="2:14" s="48" customFormat="1" ht="12">
      <c r="B113" s="53"/>
      <c r="C113" s="78"/>
      <c r="D113" s="70"/>
      <c r="E113" s="45"/>
      <c r="F113" s="45"/>
      <c r="G113" s="45"/>
      <c r="H113" s="44"/>
      <c r="I113" s="70"/>
      <c r="J113" s="45"/>
      <c r="K113" s="45"/>
      <c r="L113" s="45"/>
      <c r="M113" s="44"/>
      <c r="N113" s="46"/>
    </row>
    <row r="114" spans="2:14" s="48" customFormat="1" ht="12">
      <c r="B114" s="53"/>
      <c r="C114" s="78"/>
      <c r="D114" s="70"/>
      <c r="E114" s="45"/>
      <c r="F114" s="45"/>
      <c r="G114" s="45"/>
      <c r="H114" s="44"/>
      <c r="I114" s="70"/>
      <c r="J114" s="45"/>
      <c r="K114" s="45"/>
      <c r="L114" s="45"/>
      <c r="M114" s="44"/>
      <c r="N114" s="46"/>
    </row>
    <row r="115" spans="2:14" s="48" customFormat="1" ht="12">
      <c r="B115" s="53"/>
      <c r="C115" s="78"/>
      <c r="D115" s="70"/>
      <c r="E115" s="45"/>
      <c r="F115" s="45"/>
      <c r="G115" s="45"/>
      <c r="H115" s="44"/>
      <c r="I115" s="70"/>
      <c r="J115" s="45"/>
      <c r="K115" s="45"/>
      <c r="L115" s="45"/>
      <c r="M115" s="44"/>
      <c r="N115" s="46"/>
    </row>
    <row r="116" spans="2:14" s="48" customFormat="1" ht="12">
      <c r="B116" s="53"/>
      <c r="C116" s="78"/>
      <c r="D116" s="70"/>
      <c r="E116" s="45"/>
      <c r="F116" s="45"/>
      <c r="G116" s="45"/>
      <c r="H116" s="44"/>
      <c r="I116" s="70"/>
      <c r="J116" s="45"/>
      <c r="K116" s="45"/>
      <c r="L116" s="45"/>
      <c r="M116" s="44"/>
      <c r="N116" s="46"/>
    </row>
    <row r="117" spans="2:14" s="48" customFormat="1" ht="12">
      <c r="B117" s="53"/>
      <c r="C117" s="78"/>
      <c r="D117" s="70"/>
      <c r="E117" s="45"/>
      <c r="F117" s="45"/>
      <c r="G117" s="45"/>
      <c r="H117" s="44"/>
      <c r="I117" s="70"/>
      <c r="J117" s="45"/>
      <c r="K117" s="45"/>
      <c r="L117" s="45"/>
      <c r="M117" s="44"/>
      <c r="N117" s="46"/>
    </row>
    <row r="118" spans="2:14" s="48" customFormat="1" ht="12">
      <c r="B118" s="53"/>
      <c r="C118" s="78"/>
      <c r="D118" s="70"/>
      <c r="E118" s="45"/>
      <c r="F118" s="45"/>
      <c r="G118" s="45"/>
      <c r="H118" s="44"/>
      <c r="I118" s="70"/>
      <c r="J118" s="45"/>
      <c r="K118" s="45"/>
      <c r="L118" s="45"/>
      <c r="M118" s="44"/>
      <c r="N118" s="46"/>
    </row>
    <row r="119" spans="2:14" s="48" customFormat="1" ht="12">
      <c r="B119" s="53"/>
      <c r="C119" s="78"/>
      <c r="D119" s="70"/>
      <c r="E119" s="45"/>
      <c r="F119" s="45"/>
      <c r="G119" s="45"/>
      <c r="H119" s="44"/>
      <c r="I119" s="70"/>
      <c r="J119" s="45"/>
      <c r="K119" s="45"/>
      <c r="L119" s="45"/>
      <c r="M119" s="44"/>
      <c r="N119" s="46"/>
    </row>
    <row r="120" spans="2:14" s="48" customFormat="1" ht="12">
      <c r="B120" s="53"/>
      <c r="C120" s="78"/>
      <c r="D120" s="70"/>
      <c r="E120" s="45"/>
      <c r="F120" s="45"/>
      <c r="G120" s="45"/>
      <c r="H120" s="44"/>
      <c r="I120" s="70"/>
      <c r="J120" s="45"/>
      <c r="K120" s="45"/>
      <c r="L120" s="45"/>
      <c r="M120" s="44"/>
      <c r="N120" s="46"/>
    </row>
    <row r="121" spans="2:14" s="48" customFormat="1" ht="12">
      <c r="B121" s="53"/>
      <c r="C121" s="78"/>
      <c r="D121" s="70"/>
      <c r="E121" s="45"/>
      <c r="F121" s="45"/>
      <c r="G121" s="45"/>
      <c r="H121" s="44"/>
      <c r="I121" s="70"/>
      <c r="J121" s="45"/>
      <c r="K121" s="45"/>
      <c r="L121" s="45"/>
      <c r="M121" s="44"/>
      <c r="N121" s="46"/>
    </row>
    <row r="122" spans="2:14" s="48" customFormat="1" ht="12">
      <c r="B122" s="53"/>
      <c r="C122" s="78"/>
      <c r="D122" s="70"/>
      <c r="E122" s="45"/>
      <c r="F122" s="45"/>
      <c r="G122" s="45"/>
      <c r="H122" s="44"/>
      <c r="I122" s="70"/>
      <c r="J122" s="45"/>
      <c r="K122" s="45"/>
      <c r="L122" s="45"/>
      <c r="M122" s="44"/>
      <c r="N122" s="46"/>
    </row>
    <row r="123" spans="2:14" s="48" customFormat="1" ht="12">
      <c r="B123" s="53"/>
      <c r="C123" s="78"/>
      <c r="D123" s="70"/>
      <c r="E123" s="45"/>
      <c r="F123" s="45"/>
      <c r="G123" s="45"/>
      <c r="H123" s="44"/>
      <c r="I123" s="70"/>
      <c r="J123" s="45"/>
      <c r="K123" s="45"/>
      <c r="L123" s="45"/>
      <c r="M123" s="44"/>
      <c r="N123" s="46"/>
    </row>
    <row r="124" spans="2:14" s="48" customFormat="1" ht="12">
      <c r="B124" s="53"/>
      <c r="C124" s="78"/>
      <c r="D124" s="70"/>
      <c r="E124" s="45"/>
      <c r="F124" s="45"/>
      <c r="G124" s="45"/>
      <c r="H124" s="44"/>
      <c r="I124" s="70"/>
      <c r="J124" s="45"/>
      <c r="K124" s="45"/>
      <c r="L124" s="45"/>
      <c r="M124" s="44"/>
      <c r="N124" s="46"/>
    </row>
    <row r="125" spans="2:14" s="48" customFormat="1" ht="12">
      <c r="B125" s="53"/>
      <c r="C125" s="78"/>
      <c r="D125" s="70"/>
      <c r="E125" s="45"/>
      <c r="F125" s="45"/>
      <c r="G125" s="45"/>
      <c r="H125" s="44"/>
      <c r="I125" s="70"/>
      <c r="J125" s="45"/>
      <c r="K125" s="45"/>
      <c r="L125" s="45"/>
      <c r="M125" s="44"/>
      <c r="N125" s="46"/>
    </row>
    <row r="126" spans="2:14" s="48" customFormat="1" ht="12">
      <c r="B126" s="53"/>
      <c r="C126" s="78"/>
      <c r="D126" s="70"/>
      <c r="E126" s="45"/>
      <c r="F126" s="45"/>
      <c r="G126" s="45"/>
      <c r="H126" s="44"/>
      <c r="I126" s="70"/>
      <c r="J126" s="45"/>
      <c r="K126" s="45"/>
      <c r="L126" s="45"/>
      <c r="M126" s="44"/>
      <c r="N126" s="46"/>
    </row>
    <row r="127" spans="2:14" s="48" customFormat="1" ht="12">
      <c r="B127" s="53"/>
      <c r="C127" s="78"/>
      <c r="D127" s="70"/>
      <c r="E127" s="45"/>
      <c r="F127" s="45"/>
      <c r="G127" s="45"/>
      <c r="H127" s="44"/>
      <c r="I127" s="70"/>
      <c r="J127" s="45"/>
      <c r="K127" s="45"/>
      <c r="L127" s="45"/>
      <c r="M127" s="44"/>
      <c r="N127" s="46"/>
    </row>
    <row r="128" spans="2:14" s="48" customFormat="1" ht="12">
      <c r="B128" s="53"/>
      <c r="C128" s="78"/>
      <c r="D128" s="70"/>
      <c r="E128" s="45"/>
      <c r="F128" s="45"/>
      <c r="G128" s="45"/>
      <c r="H128" s="44"/>
      <c r="I128" s="70"/>
      <c r="J128" s="45"/>
      <c r="K128" s="45"/>
      <c r="L128" s="45"/>
      <c r="M128" s="44"/>
      <c r="N128" s="46"/>
    </row>
    <row r="129" spans="2:14" s="48" customFormat="1" ht="12">
      <c r="B129" s="53"/>
      <c r="C129" s="78"/>
      <c r="D129" s="70"/>
      <c r="E129" s="45"/>
      <c r="F129" s="45"/>
      <c r="G129" s="45"/>
      <c r="H129" s="44"/>
      <c r="I129" s="70"/>
      <c r="J129" s="45"/>
      <c r="K129" s="45"/>
      <c r="L129" s="45"/>
      <c r="M129" s="44"/>
      <c r="N129" s="46"/>
    </row>
    <row r="130" spans="2:14" s="48" customFormat="1" ht="12">
      <c r="B130" s="53"/>
      <c r="C130" s="78"/>
      <c r="D130" s="70"/>
      <c r="E130" s="45"/>
      <c r="F130" s="45"/>
      <c r="G130" s="45"/>
      <c r="H130" s="44"/>
      <c r="I130" s="70"/>
      <c r="J130" s="45"/>
      <c r="K130" s="45"/>
      <c r="L130" s="45"/>
      <c r="M130" s="44"/>
      <c r="N130" s="46"/>
    </row>
    <row r="131" spans="2:14" s="48" customFormat="1" ht="12">
      <c r="B131" s="53"/>
      <c r="C131" s="78"/>
      <c r="D131" s="70"/>
      <c r="E131" s="45"/>
      <c r="F131" s="45"/>
      <c r="G131" s="45"/>
      <c r="H131" s="44"/>
      <c r="I131" s="70"/>
      <c r="J131" s="45"/>
      <c r="K131" s="45"/>
      <c r="L131" s="45"/>
      <c r="M131" s="44"/>
      <c r="N131" s="46"/>
    </row>
    <row r="132" spans="2:14" s="48" customFormat="1" ht="12">
      <c r="B132" s="53"/>
      <c r="C132" s="78"/>
      <c r="D132" s="70"/>
      <c r="E132" s="45"/>
      <c r="F132" s="45"/>
      <c r="G132" s="45"/>
      <c r="H132" s="44"/>
      <c r="I132" s="70"/>
      <c r="J132" s="45"/>
      <c r="K132" s="45"/>
      <c r="L132" s="45"/>
      <c r="M132" s="44"/>
      <c r="N132" s="46"/>
    </row>
    <row r="133" spans="2:14" s="48" customFormat="1" ht="12">
      <c r="B133" s="53"/>
      <c r="C133" s="78"/>
      <c r="D133" s="70"/>
      <c r="E133" s="45"/>
      <c r="F133" s="45"/>
      <c r="G133" s="45"/>
      <c r="H133" s="44"/>
      <c r="I133" s="70"/>
      <c r="J133" s="45"/>
      <c r="K133" s="45"/>
      <c r="L133" s="45"/>
      <c r="M133" s="44"/>
      <c r="N133" s="46"/>
    </row>
    <row r="134" spans="2:14" s="48" customFormat="1" ht="12">
      <c r="B134" s="53"/>
      <c r="C134" s="78"/>
      <c r="D134" s="70"/>
      <c r="E134" s="45"/>
      <c r="F134" s="45"/>
      <c r="G134" s="45"/>
      <c r="H134" s="44"/>
      <c r="I134" s="70"/>
      <c r="J134" s="45"/>
      <c r="K134" s="45"/>
      <c r="L134" s="45"/>
      <c r="M134" s="44"/>
      <c r="N134" s="46"/>
    </row>
    <row r="135" spans="2:14" s="48" customFormat="1" ht="12">
      <c r="B135" s="53"/>
      <c r="C135" s="78"/>
      <c r="D135" s="70"/>
      <c r="E135" s="45"/>
      <c r="F135" s="45"/>
      <c r="G135" s="45"/>
      <c r="H135" s="44"/>
      <c r="I135" s="70"/>
      <c r="J135" s="45"/>
      <c r="K135" s="45"/>
      <c r="L135" s="45"/>
      <c r="M135" s="44"/>
      <c r="N135" s="46"/>
    </row>
    <row r="136" spans="2:14" s="48" customFormat="1" ht="12">
      <c r="B136" s="53"/>
      <c r="C136" s="78"/>
      <c r="D136" s="70"/>
      <c r="E136" s="45"/>
      <c r="F136" s="45"/>
      <c r="G136" s="45"/>
      <c r="H136" s="44"/>
      <c r="I136" s="70"/>
      <c r="J136" s="45"/>
      <c r="K136" s="45"/>
      <c r="L136" s="45"/>
      <c r="M136" s="44"/>
      <c r="N136" s="46"/>
    </row>
  </sheetData>
  <mergeCells count="1">
    <mergeCell ref="A11:B11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2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8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8515625" style="69" customWidth="1"/>
    <col min="5" max="7" width="9.8515625" style="8" customWidth="1"/>
    <col min="8" max="8" width="3.8515625" style="91" customWidth="1"/>
    <col min="9" max="9" width="7.57421875" style="69" bestFit="1" customWidth="1"/>
    <col min="10" max="12" width="9.8515625" style="8" customWidth="1"/>
    <col min="13" max="13" width="3.8515625" style="91" customWidth="1"/>
    <col min="14" max="14" width="26.85156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361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33"/>
    </row>
    <row r="5" spans="1:14" ht="39" customHeight="1">
      <c r="A5" s="99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50"/>
    </row>
    <row r="7" spans="1:14" s="48" customFormat="1" ht="24" customHeight="1">
      <c r="A7" s="56" t="s">
        <v>390</v>
      </c>
      <c r="B7" s="39"/>
      <c r="C7" s="64"/>
      <c r="D7" s="243">
        <f>SUM(D8:D8)</f>
        <v>210</v>
      </c>
      <c r="E7" s="243"/>
      <c r="F7" s="243"/>
      <c r="G7" s="243"/>
      <c r="H7" s="49"/>
      <c r="I7" s="243">
        <f>SUM(I8:I8)</f>
        <v>0</v>
      </c>
      <c r="J7" s="243"/>
      <c r="K7" s="243"/>
      <c r="L7" s="243"/>
      <c r="M7" s="44"/>
      <c r="N7" s="60"/>
    </row>
    <row r="8" spans="1:14" s="238" customFormat="1" ht="24">
      <c r="A8" s="155"/>
      <c r="B8" s="300" t="s">
        <v>285</v>
      </c>
      <c r="C8" s="64"/>
      <c r="D8" s="98">
        <v>210</v>
      </c>
      <c r="E8" s="98" t="s">
        <v>155</v>
      </c>
      <c r="F8" s="98" t="s">
        <v>145</v>
      </c>
      <c r="G8" s="259">
        <v>37176</v>
      </c>
      <c r="H8" s="236"/>
      <c r="I8" s="98"/>
      <c r="J8" s="98"/>
      <c r="K8" s="98"/>
      <c r="L8" s="98"/>
      <c r="M8" s="235"/>
      <c r="N8" s="399"/>
    </row>
    <row r="9" spans="1:14" s="48" customFormat="1" ht="24" customHeight="1">
      <c r="A9" s="56" t="s">
        <v>392</v>
      </c>
      <c r="B9" s="39"/>
      <c r="C9" s="64"/>
      <c r="D9" s="243">
        <f>SUM(D10:D10)</f>
        <v>520</v>
      </c>
      <c r="E9" s="243"/>
      <c r="F9" s="243"/>
      <c r="G9" s="243"/>
      <c r="H9" s="49"/>
      <c r="I9" s="243">
        <f>SUM(I10:I10)</f>
        <v>520</v>
      </c>
      <c r="J9" s="243"/>
      <c r="K9" s="243"/>
      <c r="L9" s="243"/>
      <c r="M9" s="44"/>
      <c r="N9" s="60"/>
    </row>
    <row r="10" spans="1:14" s="238" customFormat="1" ht="36">
      <c r="A10" s="155"/>
      <c r="B10" s="300" t="s">
        <v>322</v>
      </c>
      <c r="C10" s="64"/>
      <c r="D10" s="98">
        <v>520</v>
      </c>
      <c r="E10" s="98" t="s">
        <v>155</v>
      </c>
      <c r="F10" s="98" t="s">
        <v>145</v>
      </c>
      <c r="G10" s="259">
        <v>37077</v>
      </c>
      <c r="H10" s="236"/>
      <c r="I10" s="98">
        <v>520</v>
      </c>
      <c r="J10" s="98" t="s">
        <v>155</v>
      </c>
      <c r="K10" s="98" t="s">
        <v>145</v>
      </c>
      <c r="L10" s="259">
        <v>37172</v>
      </c>
      <c r="M10" s="235"/>
      <c r="N10" s="399"/>
    </row>
    <row r="11" spans="1:14" s="48" customFormat="1" ht="24" customHeight="1">
      <c r="A11" s="56" t="s">
        <v>393</v>
      </c>
      <c r="B11" s="39"/>
      <c r="C11" s="64"/>
      <c r="D11" s="243">
        <f>SUM(D12:D13)</f>
        <v>49</v>
      </c>
      <c r="E11" s="243"/>
      <c r="F11" s="243"/>
      <c r="G11" s="243"/>
      <c r="H11" s="49"/>
      <c r="I11" s="243">
        <f>SUM(I12:I13)</f>
        <v>49</v>
      </c>
      <c r="J11" s="243"/>
      <c r="K11" s="243"/>
      <c r="L11" s="243"/>
      <c r="M11" s="44"/>
      <c r="N11" s="60"/>
    </row>
    <row r="12" spans="1:14" s="238" customFormat="1" ht="12">
      <c r="A12" s="155"/>
      <c r="B12" s="300" t="s">
        <v>104</v>
      </c>
      <c r="C12" s="64"/>
      <c r="D12" s="98">
        <v>41</v>
      </c>
      <c r="E12" s="98" t="s">
        <v>147</v>
      </c>
      <c r="F12" s="98" t="s">
        <v>145</v>
      </c>
      <c r="G12" s="259">
        <v>37173</v>
      </c>
      <c r="H12" s="236"/>
      <c r="I12" s="98">
        <v>41</v>
      </c>
      <c r="J12" s="98" t="s">
        <v>147</v>
      </c>
      <c r="K12" s="98" t="s">
        <v>145</v>
      </c>
      <c r="L12" s="259">
        <v>37173</v>
      </c>
      <c r="M12" s="235"/>
      <c r="N12" s="399"/>
    </row>
    <row r="13" spans="1:14" s="238" customFormat="1" ht="24">
      <c r="A13" s="155"/>
      <c r="B13" s="300" t="s">
        <v>105</v>
      </c>
      <c r="C13" s="64"/>
      <c r="D13" s="98">
        <v>8</v>
      </c>
      <c r="E13" s="98" t="s">
        <v>147</v>
      </c>
      <c r="F13" s="98" t="s">
        <v>145</v>
      </c>
      <c r="G13" s="259">
        <v>37175</v>
      </c>
      <c r="H13" s="236"/>
      <c r="I13" s="98">
        <v>8</v>
      </c>
      <c r="J13" s="98" t="s">
        <v>147</v>
      </c>
      <c r="K13" s="98" t="s">
        <v>145</v>
      </c>
      <c r="L13" s="259">
        <v>37175</v>
      </c>
      <c r="M13" s="235"/>
      <c r="N13" s="399"/>
    </row>
    <row r="14" spans="1:14" s="238" customFormat="1" ht="12">
      <c r="A14" s="155"/>
      <c r="B14" s="300"/>
      <c r="C14" s="64"/>
      <c r="D14" s="98"/>
      <c r="E14" s="98"/>
      <c r="F14" s="98"/>
      <c r="G14" s="259"/>
      <c r="H14" s="236"/>
      <c r="I14" s="98"/>
      <c r="J14" s="98"/>
      <c r="K14" s="98"/>
      <c r="L14" s="259"/>
      <c r="M14" s="235"/>
      <c r="N14" s="399"/>
    </row>
    <row r="15" spans="1:14" s="14" customFormat="1" ht="24" customHeight="1">
      <c r="A15" s="286"/>
      <c r="B15" s="287" t="s">
        <v>206</v>
      </c>
      <c r="C15" s="463"/>
      <c r="D15" s="271">
        <f>+D11+D9+D7</f>
        <v>779</v>
      </c>
      <c r="E15" s="271"/>
      <c r="F15" s="271"/>
      <c r="G15" s="271"/>
      <c r="H15" s="280"/>
      <c r="I15" s="271">
        <f>+I11+I9+I7</f>
        <v>569</v>
      </c>
      <c r="J15" s="271"/>
      <c r="K15" s="271"/>
      <c r="L15" s="271"/>
      <c r="M15" s="92"/>
      <c r="N15" s="158"/>
    </row>
    <row r="16" spans="2:14" s="48" customFormat="1" ht="12" customHeight="1">
      <c r="B16" s="55"/>
      <c r="C16" s="78"/>
      <c r="D16" s="70"/>
      <c r="E16" s="45"/>
      <c r="F16" s="45"/>
      <c r="G16" s="45"/>
      <c r="H16" s="44"/>
      <c r="I16" s="70"/>
      <c r="J16" s="45"/>
      <c r="K16" s="45"/>
      <c r="L16" s="45"/>
      <c r="M16" s="44"/>
      <c r="N16" s="46"/>
    </row>
    <row r="17" spans="2:14" s="48" customFormat="1" ht="12">
      <c r="B17" s="53"/>
      <c r="C17" s="78"/>
      <c r="D17" s="70"/>
      <c r="E17" s="45"/>
      <c r="F17" s="45"/>
      <c r="G17" s="45"/>
      <c r="H17" s="44"/>
      <c r="I17" s="70"/>
      <c r="J17" s="45"/>
      <c r="K17" s="45"/>
      <c r="L17" s="45"/>
      <c r="M17" s="44"/>
      <c r="N17" s="46"/>
    </row>
    <row r="18" spans="2:14" s="48" customFormat="1" ht="12">
      <c r="B18" s="53"/>
      <c r="C18" s="78"/>
      <c r="D18" s="70"/>
      <c r="E18" s="45"/>
      <c r="F18" s="45"/>
      <c r="G18" s="45"/>
      <c r="H18" s="44"/>
      <c r="I18" s="70"/>
      <c r="J18" s="45"/>
      <c r="K18" s="45"/>
      <c r="L18" s="45"/>
      <c r="M18" s="44"/>
      <c r="N18" s="46"/>
    </row>
    <row r="19" spans="2:14" s="48" customFormat="1" ht="12">
      <c r="B19" s="53"/>
      <c r="C19" s="78"/>
      <c r="D19" s="70"/>
      <c r="E19" s="45"/>
      <c r="F19" s="45"/>
      <c r="G19" s="45"/>
      <c r="H19" s="44"/>
      <c r="I19" s="70"/>
      <c r="J19" s="45"/>
      <c r="K19" s="45"/>
      <c r="L19" s="45"/>
      <c r="M19" s="44"/>
      <c r="N19" s="46"/>
    </row>
    <row r="20" spans="2:14" s="48" customFormat="1" ht="12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2:14" s="48" customFormat="1" ht="12">
      <c r="B21" s="53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  <row r="22" spans="2:14" s="48" customFormat="1" ht="12">
      <c r="B22" s="53"/>
      <c r="C22" s="78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2:14" s="48" customFormat="1" ht="12">
      <c r="B23" s="53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2:14" s="48" customFormat="1" ht="12">
      <c r="B24" s="53"/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  <row r="25" spans="2:14" s="48" customFormat="1" ht="12">
      <c r="B25" s="53"/>
      <c r="C25" s="78"/>
      <c r="D25" s="70"/>
      <c r="E25" s="45"/>
      <c r="F25" s="45"/>
      <c r="G25" s="45"/>
      <c r="H25" s="44"/>
      <c r="I25" s="70"/>
      <c r="J25" s="45"/>
      <c r="K25" s="45"/>
      <c r="L25" s="45"/>
      <c r="M25" s="44"/>
      <c r="N25" s="46"/>
    </row>
    <row r="26" spans="2:14" s="48" customFormat="1" ht="12">
      <c r="B26" s="53"/>
      <c r="C26" s="78"/>
      <c r="D26" s="70"/>
      <c r="E26" s="45"/>
      <c r="F26" s="45"/>
      <c r="G26" s="45"/>
      <c r="H26" s="44"/>
      <c r="I26" s="70"/>
      <c r="J26" s="45"/>
      <c r="K26" s="45"/>
      <c r="L26" s="45"/>
      <c r="M26" s="44"/>
      <c r="N26" s="46"/>
    </row>
    <row r="27" spans="2:14" s="48" customFormat="1" ht="12">
      <c r="B27" s="53"/>
      <c r="C27" s="78"/>
      <c r="D27" s="70"/>
      <c r="E27" s="45"/>
      <c r="F27" s="45"/>
      <c r="G27" s="45"/>
      <c r="H27" s="44"/>
      <c r="I27" s="70"/>
      <c r="J27" s="45"/>
      <c r="K27" s="45"/>
      <c r="L27" s="45"/>
      <c r="M27" s="44"/>
      <c r="N27" s="46"/>
    </row>
    <row r="28" spans="2:14" s="48" customFormat="1" ht="12">
      <c r="B28" s="53"/>
      <c r="C28" s="78"/>
      <c r="D28" s="70"/>
      <c r="E28" s="45"/>
      <c r="F28" s="45"/>
      <c r="G28" s="45"/>
      <c r="H28" s="44"/>
      <c r="I28" s="70"/>
      <c r="J28" s="45"/>
      <c r="K28" s="45"/>
      <c r="L28" s="45"/>
      <c r="M28" s="44"/>
      <c r="N28" s="46"/>
    </row>
    <row r="29" spans="2:14" s="48" customFormat="1" ht="12">
      <c r="B29" s="53"/>
      <c r="C29" s="78"/>
      <c r="D29" s="70"/>
      <c r="E29" s="45"/>
      <c r="F29" s="45"/>
      <c r="G29" s="45"/>
      <c r="H29" s="44"/>
      <c r="I29" s="70"/>
      <c r="J29" s="45"/>
      <c r="K29" s="45"/>
      <c r="L29" s="45"/>
      <c r="M29" s="44"/>
      <c r="N29" s="46"/>
    </row>
    <row r="30" spans="2:14" s="48" customFormat="1" ht="12">
      <c r="B30" s="53"/>
      <c r="C30" s="78"/>
      <c r="D30" s="70"/>
      <c r="E30" s="45"/>
      <c r="F30" s="45"/>
      <c r="G30" s="45"/>
      <c r="H30" s="44"/>
      <c r="I30" s="70"/>
      <c r="J30" s="45"/>
      <c r="K30" s="45"/>
      <c r="L30" s="45"/>
      <c r="M30" s="44"/>
      <c r="N30" s="46"/>
    </row>
    <row r="31" spans="2:14" s="48" customFormat="1" ht="12">
      <c r="B31" s="53"/>
      <c r="C31" s="78"/>
      <c r="D31" s="70"/>
      <c r="E31" s="45"/>
      <c r="F31" s="45"/>
      <c r="G31" s="45"/>
      <c r="H31" s="44"/>
      <c r="I31" s="70"/>
      <c r="J31" s="45"/>
      <c r="K31" s="45"/>
      <c r="L31" s="45"/>
      <c r="M31" s="44"/>
      <c r="N31" s="46"/>
    </row>
    <row r="32" spans="2:14" s="48" customFormat="1" ht="12">
      <c r="B32" s="53"/>
      <c r="C32" s="78"/>
      <c r="D32" s="70"/>
      <c r="E32" s="45"/>
      <c r="F32" s="45"/>
      <c r="G32" s="45"/>
      <c r="H32" s="44"/>
      <c r="I32" s="70"/>
      <c r="J32" s="45"/>
      <c r="K32" s="45"/>
      <c r="L32" s="45"/>
      <c r="M32" s="44"/>
      <c r="N32" s="46"/>
    </row>
    <row r="33" spans="2:14" s="48" customFormat="1" ht="12">
      <c r="B33" s="53"/>
      <c r="C33" s="78"/>
      <c r="D33" s="70"/>
      <c r="E33" s="45"/>
      <c r="F33" s="45"/>
      <c r="G33" s="45"/>
      <c r="H33" s="44"/>
      <c r="I33" s="70"/>
      <c r="J33" s="45"/>
      <c r="K33" s="45"/>
      <c r="L33" s="45"/>
      <c r="M33" s="44"/>
      <c r="N33" s="46"/>
    </row>
    <row r="34" spans="2:14" s="48" customFormat="1" ht="12">
      <c r="B34" s="53"/>
      <c r="C34" s="78"/>
      <c r="D34" s="70"/>
      <c r="E34" s="45"/>
      <c r="F34" s="45"/>
      <c r="G34" s="45"/>
      <c r="H34" s="44"/>
      <c r="I34" s="70"/>
      <c r="J34" s="45"/>
      <c r="K34" s="45"/>
      <c r="L34" s="45"/>
      <c r="M34" s="44"/>
      <c r="N34" s="46"/>
    </row>
    <row r="35" spans="2:14" s="48" customFormat="1" ht="12">
      <c r="B35" s="53"/>
      <c r="C35" s="78"/>
      <c r="D35" s="70"/>
      <c r="E35" s="45"/>
      <c r="F35" s="45"/>
      <c r="G35" s="45"/>
      <c r="H35" s="44"/>
      <c r="I35" s="70"/>
      <c r="J35" s="45"/>
      <c r="K35" s="45"/>
      <c r="L35" s="45"/>
      <c r="M35" s="44"/>
      <c r="N35" s="46"/>
    </row>
    <row r="36" spans="2:14" s="48" customFormat="1" ht="12">
      <c r="B36" s="53"/>
      <c r="C36" s="78"/>
      <c r="D36" s="70"/>
      <c r="E36" s="45"/>
      <c r="F36" s="45"/>
      <c r="G36" s="45"/>
      <c r="H36" s="44"/>
      <c r="I36" s="70"/>
      <c r="J36" s="45"/>
      <c r="K36" s="45"/>
      <c r="L36" s="45"/>
      <c r="M36" s="44"/>
      <c r="N36" s="46"/>
    </row>
    <row r="37" spans="2:14" s="48" customFormat="1" ht="12">
      <c r="B37" s="53"/>
      <c r="C37" s="78"/>
      <c r="D37" s="70"/>
      <c r="E37" s="45"/>
      <c r="F37" s="45"/>
      <c r="G37" s="45"/>
      <c r="H37" s="44"/>
      <c r="I37" s="70"/>
      <c r="J37" s="45"/>
      <c r="K37" s="45"/>
      <c r="L37" s="45"/>
      <c r="M37" s="44"/>
      <c r="N37" s="46"/>
    </row>
    <row r="38" spans="2:14" s="48" customFormat="1" ht="12">
      <c r="B38" s="53"/>
      <c r="C38" s="78"/>
      <c r="D38" s="70"/>
      <c r="E38" s="45"/>
      <c r="F38" s="45"/>
      <c r="G38" s="45"/>
      <c r="H38" s="44"/>
      <c r="I38" s="70"/>
      <c r="J38" s="45"/>
      <c r="K38" s="45"/>
      <c r="L38" s="45"/>
      <c r="M38" s="44"/>
      <c r="N38" s="46"/>
    </row>
    <row r="39" spans="2:14" s="48" customFormat="1" ht="12">
      <c r="B39" s="53"/>
      <c r="C39" s="78"/>
      <c r="D39" s="70"/>
      <c r="E39" s="45"/>
      <c r="F39" s="45"/>
      <c r="G39" s="45"/>
      <c r="H39" s="44"/>
      <c r="I39" s="70"/>
      <c r="J39" s="45"/>
      <c r="K39" s="45"/>
      <c r="L39" s="45"/>
      <c r="M39" s="44"/>
      <c r="N39" s="46"/>
    </row>
    <row r="40" spans="2:14" s="48" customFormat="1" ht="12">
      <c r="B40" s="53"/>
      <c r="C40" s="78"/>
      <c r="D40" s="70"/>
      <c r="E40" s="45"/>
      <c r="F40" s="45"/>
      <c r="G40" s="45"/>
      <c r="H40" s="44"/>
      <c r="I40" s="70"/>
      <c r="J40" s="45"/>
      <c r="K40" s="45"/>
      <c r="L40" s="45"/>
      <c r="M40" s="44"/>
      <c r="N40" s="46"/>
    </row>
    <row r="41" spans="2:14" s="48" customFormat="1" ht="12">
      <c r="B41" s="53"/>
      <c r="C41" s="78"/>
      <c r="D41" s="70"/>
      <c r="E41" s="45"/>
      <c r="F41" s="45"/>
      <c r="G41" s="45"/>
      <c r="H41" s="44"/>
      <c r="I41" s="70"/>
      <c r="J41" s="45"/>
      <c r="K41" s="45"/>
      <c r="L41" s="45"/>
      <c r="M41" s="44"/>
      <c r="N41" s="46"/>
    </row>
    <row r="42" spans="2:14" s="48" customFormat="1" ht="12">
      <c r="B42" s="53"/>
      <c r="C42" s="78"/>
      <c r="D42" s="70"/>
      <c r="E42" s="45"/>
      <c r="F42" s="45"/>
      <c r="G42" s="45"/>
      <c r="H42" s="44"/>
      <c r="I42" s="70"/>
      <c r="J42" s="45"/>
      <c r="K42" s="45"/>
      <c r="L42" s="45"/>
      <c r="M42" s="44"/>
      <c r="N42" s="46"/>
    </row>
    <row r="43" spans="2:14" s="48" customFormat="1" ht="12">
      <c r="B43" s="53"/>
      <c r="C43" s="78"/>
      <c r="D43" s="70"/>
      <c r="E43" s="45"/>
      <c r="F43" s="45"/>
      <c r="G43" s="45"/>
      <c r="H43" s="44"/>
      <c r="I43" s="70"/>
      <c r="J43" s="45"/>
      <c r="K43" s="45"/>
      <c r="L43" s="45"/>
      <c r="M43" s="44"/>
      <c r="N43" s="46"/>
    </row>
    <row r="44" spans="2:14" s="48" customFormat="1" ht="12">
      <c r="B44" s="53"/>
      <c r="C44" s="78"/>
      <c r="D44" s="70"/>
      <c r="E44" s="45"/>
      <c r="F44" s="45"/>
      <c r="G44" s="45"/>
      <c r="H44" s="44"/>
      <c r="I44" s="70"/>
      <c r="J44" s="45"/>
      <c r="K44" s="45"/>
      <c r="L44" s="45"/>
      <c r="M44" s="44"/>
      <c r="N44" s="46"/>
    </row>
    <row r="45" spans="2:14" s="48" customFormat="1" ht="12">
      <c r="B45" s="53"/>
      <c r="C45" s="78"/>
      <c r="D45" s="70"/>
      <c r="E45" s="45"/>
      <c r="F45" s="45"/>
      <c r="G45" s="45"/>
      <c r="H45" s="44"/>
      <c r="I45" s="70"/>
      <c r="J45" s="45"/>
      <c r="K45" s="45"/>
      <c r="L45" s="45"/>
      <c r="M45" s="44"/>
      <c r="N45" s="46"/>
    </row>
    <row r="46" spans="2:14" s="48" customFormat="1" ht="12">
      <c r="B46" s="53"/>
      <c r="C46" s="78"/>
      <c r="D46" s="70"/>
      <c r="E46" s="45"/>
      <c r="F46" s="45"/>
      <c r="G46" s="45"/>
      <c r="H46" s="44"/>
      <c r="I46" s="70"/>
      <c r="J46" s="45"/>
      <c r="K46" s="45"/>
      <c r="L46" s="45"/>
      <c r="M46" s="44"/>
      <c r="N46" s="46"/>
    </row>
    <row r="47" spans="2:14" s="48" customFormat="1" ht="12">
      <c r="B47" s="53"/>
      <c r="C47" s="78"/>
      <c r="D47" s="70"/>
      <c r="E47" s="45"/>
      <c r="F47" s="45"/>
      <c r="G47" s="45"/>
      <c r="H47" s="44"/>
      <c r="I47" s="70"/>
      <c r="J47" s="45"/>
      <c r="K47" s="45"/>
      <c r="L47" s="45"/>
      <c r="M47" s="44"/>
      <c r="N47" s="46"/>
    </row>
    <row r="48" spans="2:14" s="48" customFormat="1" ht="12">
      <c r="B48" s="53"/>
      <c r="C48" s="78"/>
      <c r="D48" s="70"/>
      <c r="E48" s="45"/>
      <c r="F48" s="45"/>
      <c r="G48" s="45"/>
      <c r="H48" s="44"/>
      <c r="I48" s="70"/>
      <c r="J48" s="45"/>
      <c r="K48" s="45"/>
      <c r="L48" s="45"/>
      <c r="M48" s="44"/>
      <c r="N48" s="46"/>
    </row>
    <row r="49" spans="2:14" s="48" customFormat="1" ht="12">
      <c r="B49" s="53"/>
      <c r="C49" s="78"/>
      <c r="D49" s="70"/>
      <c r="E49" s="45"/>
      <c r="F49" s="45"/>
      <c r="G49" s="45"/>
      <c r="H49" s="44"/>
      <c r="I49" s="70"/>
      <c r="J49" s="45"/>
      <c r="K49" s="45"/>
      <c r="L49" s="45"/>
      <c r="M49" s="44"/>
      <c r="N49" s="46"/>
    </row>
    <row r="50" spans="2:14" s="48" customFormat="1" ht="12">
      <c r="B50" s="53"/>
      <c r="C50" s="78"/>
      <c r="D50" s="70"/>
      <c r="E50" s="45"/>
      <c r="F50" s="45"/>
      <c r="G50" s="45"/>
      <c r="H50" s="44"/>
      <c r="I50" s="70"/>
      <c r="J50" s="45"/>
      <c r="K50" s="45"/>
      <c r="L50" s="45"/>
      <c r="M50" s="44"/>
      <c r="N50" s="46"/>
    </row>
    <row r="51" spans="2:14" s="48" customFormat="1" ht="12">
      <c r="B51" s="53"/>
      <c r="C51" s="78"/>
      <c r="D51" s="70"/>
      <c r="E51" s="45"/>
      <c r="F51" s="45"/>
      <c r="G51" s="45"/>
      <c r="H51" s="44"/>
      <c r="I51" s="70"/>
      <c r="J51" s="45"/>
      <c r="K51" s="45"/>
      <c r="L51" s="45"/>
      <c r="M51" s="44"/>
      <c r="N51" s="46"/>
    </row>
    <row r="52" spans="2:14" s="48" customFormat="1" ht="12">
      <c r="B52" s="53"/>
      <c r="C52" s="78"/>
      <c r="D52" s="70"/>
      <c r="E52" s="45"/>
      <c r="F52" s="45"/>
      <c r="G52" s="45"/>
      <c r="H52" s="44"/>
      <c r="I52" s="70"/>
      <c r="J52" s="45"/>
      <c r="K52" s="45"/>
      <c r="L52" s="45"/>
      <c r="M52" s="44"/>
      <c r="N52" s="46"/>
    </row>
    <row r="53" spans="2:14" s="48" customFormat="1" ht="12">
      <c r="B53" s="53"/>
      <c r="C53" s="78"/>
      <c r="D53" s="70"/>
      <c r="E53" s="45"/>
      <c r="F53" s="45"/>
      <c r="G53" s="45"/>
      <c r="H53" s="44"/>
      <c r="I53" s="70"/>
      <c r="J53" s="45"/>
      <c r="K53" s="45"/>
      <c r="L53" s="45"/>
      <c r="M53" s="44"/>
      <c r="N53" s="46"/>
    </row>
    <row r="54" spans="2:14" s="48" customFormat="1" ht="12">
      <c r="B54" s="53"/>
      <c r="C54" s="78"/>
      <c r="D54" s="70"/>
      <c r="E54" s="45"/>
      <c r="F54" s="45"/>
      <c r="G54" s="45"/>
      <c r="H54" s="44"/>
      <c r="I54" s="70"/>
      <c r="J54" s="45"/>
      <c r="K54" s="45"/>
      <c r="L54" s="45"/>
      <c r="M54" s="44"/>
      <c r="N54" s="46"/>
    </row>
    <row r="55" spans="2:14" s="48" customFormat="1" ht="12">
      <c r="B55" s="53"/>
      <c r="C55" s="78"/>
      <c r="D55" s="70"/>
      <c r="E55" s="45"/>
      <c r="F55" s="45"/>
      <c r="G55" s="45"/>
      <c r="H55" s="44"/>
      <c r="I55" s="70"/>
      <c r="J55" s="45"/>
      <c r="K55" s="45"/>
      <c r="L55" s="45"/>
      <c r="M55" s="44"/>
      <c r="N55" s="46"/>
    </row>
    <row r="56" spans="2:14" s="48" customFormat="1" ht="12">
      <c r="B56" s="53"/>
      <c r="C56" s="78"/>
      <c r="D56" s="70"/>
      <c r="E56" s="45"/>
      <c r="F56" s="45"/>
      <c r="G56" s="45"/>
      <c r="H56" s="44"/>
      <c r="I56" s="70"/>
      <c r="J56" s="45"/>
      <c r="K56" s="45"/>
      <c r="L56" s="45"/>
      <c r="M56" s="44"/>
      <c r="N56" s="46"/>
    </row>
    <row r="57" spans="2:14" s="48" customFormat="1" ht="12">
      <c r="B57" s="53"/>
      <c r="C57" s="78"/>
      <c r="D57" s="70"/>
      <c r="E57" s="45"/>
      <c r="F57" s="45"/>
      <c r="G57" s="45"/>
      <c r="H57" s="44"/>
      <c r="I57" s="70"/>
      <c r="J57" s="45"/>
      <c r="K57" s="45"/>
      <c r="L57" s="45"/>
      <c r="M57" s="44"/>
      <c r="N57" s="46"/>
    </row>
    <row r="58" spans="2:14" s="48" customFormat="1" ht="12">
      <c r="B58" s="53"/>
      <c r="C58" s="78"/>
      <c r="D58" s="70"/>
      <c r="E58" s="45"/>
      <c r="F58" s="45"/>
      <c r="G58" s="45"/>
      <c r="H58" s="44"/>
      <c r="I58" s="70"/>
      <c r="J58" s="45"/>
      <c r="K58" s="45"/>
      <c r="L58" s="45"/>
      <c r="M58" s="44"/>
      <c r="N58" s="46"/>
    </row>
    <row r="59" spans="2:14" s="48" customFormat="1" ht="12">
      <c r="B59" s="53"/>
      <c r="C59" s="78"/>
      <c r="D59" s="70"/>
      <c r="E59" s="45"/>
      <c r="F59" s="45"/>
      <c r="G59" s="45"/>
      <c r="H59" s="44"/>
      <c r="I59" s="70"/>
      <c r="J59" s="45"/>
      <c r="K59" s="45"/>
      <c r="L59" s="45"/>
      <c r="M59" s="44"/>
      <c r="N59" s="46"/>
    </row>
    <row r="60" spans="2:14" s="48" customFormat="1" ht="12">
      <c r="B60" s="53"/>
      <c r="C60" s="78"/>
      <c r="D60" s="70"/>
      <c r="E60" s="45"/>
      <c r="F60" s="45"/>
      <c r="G60" s="45"/>
      <c r="H60" s="44"/>
      <c r="I60" s="70"/>
      <c r="J60" s="45"/>
      <c r="K60" s="45"/>
      <c r="L60" s="45"/>
      <c r="M60" s="44"/>
      <c r="N60" s="46"/>
    </row>
    <row r="61" spans="2:14" s="48" customFormat="1" ht="12">
      <c r="B61" s="53"/>
      <c r="C61" s="78"/>
      <c r="D61" s="70"/>
      <c r="E61" s="45"/>
      <c r="F61" s="45"/>
      <c r="G61" s="45"/>
      <c r="H61" s="44"/>
      <c r="I61" s="70"/>
      <c r="J61" s="45"/>
      <c r="K61" s="45"/>
      <c r="L61" s="45"/>
      <c r="M61" s="44"/>
      <c r="N61" s="46"/>
    </row>
    <row r="62" spans="2:14" s="48" customFormat="1" ht="12">
      <c r="B62" s="53"/>
      <c r="C62" s="78"/>
      <c r="D62" s="70"/>
      <c r="E62" s="45"/>
      <c r="F62" s="45"/>
      <c r="G62" s="45"/>
      <c r="H62" s="44"/>
      <c r="I62" s="70"/>
      <c r="J62" s="45"/>
      <c r="K62" s="45"/>
      <c r="L62" s="45"/>
      <c r="M62" s="44"/>
      <c r="N62" s="46"/>
    </row>
    <row r="63" spans="2:14" s="48" customFormat="1" ht="12">
      <c r="B63" s="53"/>
      <c r="C63" s="78"/>
      <c r="D63" s="70"/>
      <c r="E63" s="45"/>
      <c r="F63" s="45"/>
      <c r="G63" s="45"/>
      <c r="H63" s="44"/>
      <c r="I63" s="70"/>
      <c r="J63" s="45"/>
      <c r="K63" s="45"/>
      <c r="L63" s="45"/>
      <c r="M63" s="44"/>
      <c r="N63" s="46"/>
    </row>
    <row r="64" spans="2:14" s="48" customFormat="1" ht="12">
      <c r="B64" s="53"/>
      <c r="C64" s="78"/>
      <c r="D64" s="70"/>
      <c r="E64" s="45"/>
      <c r="F64" s="45"/>
      <c r="G64" s="45"/>
      <c r="H64" s="44"/>
      <c r="I64" s="70"/>
      <c r="J64" s="45"/>
      <c r="K64" s="45"/>
      <c r="L64" s="45"/>
      <c r="M64" s="44"/>
      <c r="N64" s="46"/>
    </row>
    <row r="65" spans="2:14" s="48" customFormat="1" ht="12">
      <c r="B65" s="53"/>
      <c r="C65" s="78"/>
      <c r="D65" s="70"/>
      <c r="E65" s="45"/>
      <c r="F65" s="45"/>
      <c r="G65" s="45"/>
      <c r="H65" s="44"/>
      <c r="I65" s="70"/>
      <c r="J65" s="45"/>
      <c r="K65" s="45"/>
      <c r="L65" s="45"/>
      <c r="M65" s="44"/>
      <c r="N65" s="46"/>
    </row>
    <row r="66" spans="2:14" s="48" customFormat="1" ht="12">
      <c r="B66" s="53"/>
      <c r="C66" s="78"/>
      <c r="D66" s="70"/>
      <c r="E66" s="45"/>
      <c r="F66" s="45"/>
      <c r="G66" s="45"/>
      <c r="H66" s="44"/>
      <c r="I66" s="70"/>
      <c r="J66" s="45"/>
      <c r="K66" s="45"/>
      <c r="L66" s="45"/>
      <c r="M66" s="44"/>
      <c r="N66" s="46"/>
    </row>
    <row r="67" spans="2:14" s="48" customFormat="1" ht="12">
      <c r="B67" s="53"/>
      <c r="C67" s="78"/>
      <c r="D67" s="70"/>
      <c r="E67" s="45"/>
      <c r="F67" s="45"/>
      <c r="G67" s="45"/>
      <c r="H67" s="44"/>
      <c r="I67" s="70"/>
      <c r="J67" s="45"/>
      <c r="K67" s="45"/>
      <c r="L67" s="45"/>
      <c r="M67" s="44"/>
      <c r="N67" s="46"/>
    </row>
    <row r="68" spans="2:14" s="48" customFormat="1" ht="12">
      <c r="B68" s="53"/>
      <c r="C68" s="78"/>
      <c r="D68" s="70"/>
      <c r="E68" s="45"/>
      <c r="F68" s="45"/>
      <c r="G68" s="45"/>
      <c r="H68" s="44"/>
      <c r="I68" s="70"/>
      <c r="J68" s="45"/>
      <c r="K68" s="45"/>
      <c r="L68" s="45"/>
      <c r="M68" s="44"/>
      <c r="N68" s="46"/>
    </row>
    <row r="69" spans="2:14" s="48" customFormat="1" ht="12">
      <c r="B69" s="53"/>
      <c r="C69" s="78"/>
      <c r="D69" s="70"/>
      <c r="E69" s="45"/>
      <c r="F69" s="45"/>
      <c r="G69" s="45"/>
      <c r="H69" s="44"/>
      <c r="I69" s="70"/>
      <c r="J69" s="45"/>
      <c r="K69" s="45"/>
      <c r="L69" s="45"/>
      <c r="M69" s="44"/>
      <c r="N69" s="46"/>
    </row>
    <row r="70" spans="2:14" s="48" customFormat="1" ht="12">
      <c r="B70" s="53"/>
      <c r="C70" s="78"/>
      <c r="D70" s="70"/>
      <c r="E70" s="45"/>
      <c r="F70" s="45"/>
      <c r="G70" s="45"/>
      <c r="H70" s="44"/>
      <c r="I70" s="70"/>
      <c r="J70" s="45"/>
      <c r="K70" s="45"/>
      <c r="L70" s="45"/>
      <c r="M70" s="44"/>
      <c r="N70" s="46"/>
    </row>
    <row r="71" spans="2:14" s="48" customFormat="1" ht="12">
      <c r="B71" s="53"/>
      <c r="C71" s="78"/>
      <c r="D71" s="70"/>
      <c r="E71" s="45"/>
      <c r="F71" s="45"/>
      <c r="G71" s="45"/>
      <c r="H71" s="44"/>
      <c r="I71" s="70"/>
      <c r="J71" s="45"/>
      <c r="K71" s="45"/>
      <c r="L71" s="45"/>
      <c r="M71" s="44"/>
      <c r="N71" s="46"/>
    </row>
    <row r="72" spans="2:14" s="48" customFormat="1" ht="12">
      <c r="B72" s="53"/>
      <c r="C72" s="78"/>
      <c r="D72" s="70"/>
      <c r="E72" s="45"/>
      <c r="F72" s="45"/>
      <c r="G72" s="45"/>
      <c r="H72" s="44"/>
      <c r="I72" s="70"/>
      <c r="J72" s="45"/>
      <c r="K72" s="45"/>
      <c r="L72" s="45"/>
      <c r="M72" s="44"/>
      <c r="N72" s="46"/>
    </row>
    <row r="73" spans="2:14" s="48" customFormat="1" ht="12">
      <c r="B73" s="53"/>
      <c r="C73" s="78"/>
      <c r="D73" s="70"/>
      <c r="E73" s="45"/>
      <c r="F73" s="45"/>
      <c r="G73" s="45"/>
      <c r="H73" s="44"/>
      <c r="I73" s="70"/>
      <c r="J73" s="45"/>
      <c r="K73" s="45"/>
      <c r="L73" s="45"/>
      <c r="M73" s="44"/>
      <c r="N73" s="46"/>
    </row>
    <row r="74" spans="2:14" s="48" customFormat="1" ht="12">
      <c r="B74" s="53"/>
      <c r="C74" s="78"/>
      <c r="D74" s="70"/>
      <c r="E74" s="45"/>
      <c r="F74" s="45"/>
      <c r="G74" s="45"/>
      <c r="H74" s="44"/>
      <c r="I74" s="70"/>
      <c r="J74" s="45"/>
      <c r="K74" s="45"/>
      <c r="L74" s="45"/>
      <c r="M74" s="44"/>
      <c r="N74" s="46"/>
    </row>
    <row r="75" spans="2:14" s="48" customFormat="1" ht="12">
      <c r="B75" s="53"/>
      <c r="C75" s="78"/>
      <c r="D75" s="70"/>
      <c r="E75" s="45"/>
      <c r="F75" s="45"/>
      <c r="G75" s="45"/>
      <c r="H75" s="44"/>
      <c r="I75" s="70"/>
      <c r="J75" s="45"/>
      <c r="K75" s="45"/>
      <c r="L75" s="45"/>
      <c r="M75" s="44"/>
      <c r="N75" s="46"/>
    </row>
    <row r="76" spans="2:14" s="48" customFormat="1" ht="12">
      <c r="B76" s="53"/>
      <c r="C76" s="78"/>
      <c r="D76" s="70"/>
      <c r="E76" s="45"/>
      <c r="F76" s="45"/>
      <c r="G76" s="45"/>
      <c r="H76" s="44"/>
      <c r="I76" s="70"/>
      <c r="J76" s="45"/>
      <c r="K76" s="45"/>
      <c r="L76" s="45"/>
      <c r="M76" s="44"/>
      <c r="N76" s="46"/>
    </row>
    <row r="77" spans="2:14" s="48" customFormat="1" ht="12">
      <c r="B77" s="53"/>
      <c r="C77" s="78"/>
      <c r="D77" s="70"/>
      <c r="E77" s="45"/>
      <c r="F77" s="45"/>
      <c r="G77" s="45"/>
      <c r="H77" s="44"/>
      <c r="I77" s="70"/>
      <c r="J77" s="45"/>
      <c r="K77" s="45"/>
      <c r="L77" s="45"/>
      <c r="M77" s="44"/>
      <c r="N77" s="46"/>
    </row>
    <row r="78" spans="2:14" s="48" customFormat="1" ht="12">
      <c r="B78" s="53"/>
      <c r="C78" s="78"/>
      <c r="D78" s="70"/>
      <c r="E78" s="45"/>
      <c r="F78" s="45"/>
      <c r="G78" s="45"/>
      <c r="H78" s="44"/>
      <c r="I78" s="70"/>
      <c r="J78" s="45"/>
      <c r="K78" s="45"/>
      <c r="L78" s="45"/>
      <c r="M78" s="44"/>
      <c r="N78" s="46"/>
    </row>
    <row r="79" spans="2:14" s="48" customFormat="1" ht="12">
      <c r="B79" s="53"/>
      <c r="C79" s="78"/>
      <c r="D79" s="70"/>
      <c r="E79" s="45"/>
      <c r="F79" s="45"/>
      <c r="G79" s="45"/>
      <c r="H79" s="44"/>
      <c r="I79" s="70"/>
      <c r="J79" s="45"/>
      <c r="K79" s="45"/>
      <c r="L79" s="45"/>
      <c r="M79" s="44"/>
      <c r="N79" s="46"/>
    </row>
    <row r="80" spans="2:14" s="48" customFormat="1" ht="12">
      <c r="B80" s="53"/>
      <c r="C80" s="78"/>
      <c r="D80" s="70"/>
      <c r="E80" s="45"/>
      <c r="F80" s="45"/>
      <c r="G80" s="45"/>
      <c r="H80" s="44"/>
      <c r="I80" s="70"/>
      <c r="J80" s="45"/>
      <c r="K80" s="45"/>
      <c r="L80" s="45"/>
      <c r="M80" s="44"/>
      <c r="N80" s="46"/>
    </row>
    <row r="81" spans="2:14" s="48" customFormat="1" ht="12">
      <c r="B81" s="53"/>
      <c r="C81" s="78"/>
      <c r="D81" s="70"/>
      <c r="E81" s="45"/>
      <c r="F81" s="45"/>
      <c r="G81" s="45"/>
      <c r="H81" s="44"/>
      <c r="I81" s="70"/>
      <c r="J81" s="45"/>
      <c r="K81" s="45"/>
      <c r="L81" s="45"/>
      <c r="M81" s="44"/>
      <c r="N81" s="46"/>
    </row>
    <row r="82" spans="2:14" s="48" customFormat="1" ht="12">
      <c r="B82" s="53"/>
      <c r="C82" s="78"/>
      <c r="D82" s="70"/>
      <c r="E82" s="45"/>
      <c r="F82" s="45"/>
      <c r="G82" s="45"/>
      <c r="H82" s="44"/>
      <c r="I82" s="70"/>
      <c r="J82" s="45"/>
      <c r="K82" s="45"/>
      <c r="L82" s="45"/>
      <c r="M82" s="44"/>
      <c r="N82" s="46"/>
    </row>
    <row r="83" spans="2:14" s="48" customFormat="1" ht="12">
      <c r="B83" s="53"/>
      <c r="C83" s="78"/>
      <c r="D83" s="70"/>
      <c r="E83" s="45"/>
      <c r="F83" s="45"/>
      <c r="G83" s="45"/>
      <c r="H83" s="44"/>
      <c r="I83" s="70"/>
      <c r="J83" s="45"/>
      <c r="K83" s="45"/>
      <c r="L83" s="45"/>
      <c r="M83" s="44"/>
      <c r="N83" s="46"/>
    </row>
    <row r="84" spans="2:14" s="48" customFormat="1" ht="12">
      <c r="B84" s="53"/>
      <c r="C84" s="78"/>
      <c r="D84" s="70"/>
      <c r="E84" s="45"/>
      <c r="F84" s="45"/>
      <c r="G84" s="45"/>
      <c r="H84" s="44"/>
      <c r="I84" s="70"/>
      <c r="J84" s="45"/>
      <c r="K84" s="45"/>
      <c r="L84" s="45"/>
      <c r="M84" s="44"/>
      <c r="N84" s="46"/>
    </row>
    <row r="85" spans="2:14" s="48" customFormat="1" ht="12">
      <c r="B85" s="53"/>
      <c r="C85" s="78"/>
      <c r="D85" s="70"/>
      <c r="E85" s="45"/>
      <c r="F85" s="45"/>
      <c r="G85" s="45"/>
      <c r="H85" s="44"/>
      <c r="I85" s="70"/>
      <c r="J85" s="45"/>
      <c r="K85" s="45"/>
      <c r="L85" s="45"/>
      <c r="M85" s="44"/>
      <c r="N85" s="46"/>
    </row>
    <row r="86" spans="2:14" s="48" customFormat="1" ht="12">
      <c r="B86" s="53"/>
      <c r="C86" s="78"/>
      <c r="D86" s="70"/>
      <c r="E86" s="45"/>
      <c r="F86" s="45"/>
      <c r="G86" s="45"/>
      <c r="H86" s="44"/>
      <c r="I86" s="70"/>
      <c r="J86" s="45"/>
      <c r="K86" s="45"/>
      <c r="L86" s="45"/>
      <c r="M86" s="44"/>
      <c r="N86" s="46"/>
    </row>
    <row r="87" spans="2:14" s="48" customFormat="1" ht="12">
      <c r="B87" s="53"/>
      <c r="C87" s="78"/>
      <c r="D87" s="70"/>
      <c r="E87" s="45"/>
      <c r="F87" s="45"/>
      <c r="G87" s="45"/>
      <c r="H87" s="44"/>
      <c r="I87" s="70"/>
      <c r="J87" s="45"/>
      <c r="K87" s="45"/>
      <c r="L87" s="45"/>
      <c r="M87" s="44"/>
      <c r="N87" s="46"/>
    </row>
    <row r="88" spans="2:14" s="48" customFormat="1" ht="12">
      <c r="B88" s="53"/>
      <c r="C88" s="78"/>
      <c r="D88" s="70"/>
      <c r="E88" s="45"/>
      <c r="F88" s="45"/>
      <c r="G88" s="45"/>
      <c r="H88" s="44"/>
      <c r="I88" s="70"/>
      <c r="J88" s="45"/>
      <c r="K88" s="45"/>
      <c r="L88" s="45"/>
      <c r="M88" s="44"/>
      <c r="N88" s="46"/>
    </row>
    <row r="89" spans="2:14" s="48" customFormat="1" ht="12">
      <c r="B89" s="53"/>
      <c r="C89" s="78"/>
      <c r="D89" s="70"/>
      <c r="E89" s="45"/>
      <c r="F89" s="45"/>
      <c r="G89" s="45"/>
      <c r="H89" s="44"/>
      <c r="I89" s="70"/>
      <c r="J89" s="45"/>
      <c r="K89" s="45"/>
      <c r="L89" s="45"/>
      <c r="M89" s="44"/>
      <c r="N89" s="46"/>
    </row>
    <row r="90" spans="2:14" s="48" customFormat="1" ht="12">
      <c r="B90" s="53"/>
      <c r="C90" s="78"/>
      <c r="D90" s="70"/>
      <c r="E90" s="45"/>
      <c r="F90" s="45"/>
      <c r="G90" s="45"/>
      <c r="H90" s="44"/>
      <c r="I90" s="70"/>
      <c r="J90" s="45"/>
      <c r="K90" s="45"/>
      <c r="L90" s="45"/>
      <c r="M90" s="44"/>
      <c r="N90" s="46"/>
    </row>
    <row r="91" spans="2:14" s="48" customFormat="1" ht="12">
      <c r="B91" s="53"/>
      <c r="C91" s="78"/>
      <c r="D91" s="70"/>
      <c r="E91" s="45"/>
      <c r="F91" s="45"/>
      <c r="G91" s="45"/>
      <c r="H91" s="44"/>
      <c r="I91" s="70"/>
      <c r="J91" s="45"/>
      <c r="K91" s="45"/>
      <c r="L91" s="45"/>
      <c r="M91" s="44"/>
      <c r="N91" s="46"/>
    </row>
    <row r="92" spans="2:14" s="48" customFormat="1" ht="12">
      <c r="B92" s="53"/>
      <c r="C92" s="78"/>
      <c r="D92" s="70"/>
      <c r="E92" s="45"/>
      <c r="F92" s="45"/>
      <c r="G92" s="45"/>
      <c r="H92" s="44"/>
      <c r="I92" s="70"/>
      <c r="J92" s="45"/>
      <c r="K92" s="45"/>
      <c r="L92" s="45"/>
      <c r="M92" s="44"/>
      <c r="N92" s="46"/>
    </row>
    <row r="93" spans="2:14" s="48" customFormat="1" ht="12">
      <c r="B93" s="53"/>
      <c r="C93" s="78"/>
      <c r="D93" s="70"/>
      <c r="E93" s="45"/>
      <c r="F93" s="45"/>
      <c r="G93" s="45"/>
      <c r="H93" s="44"/>
      <c r="I93" s="70"/>
      <c r="J93" s="45"/>
      <c r="K93" s="45"/>
      <c r="L93" s="45"/>
      <c r="M93" s="44"/>
      <c r="N93" s="46"/>
    </row>
    <row r="94" spans="2:14" s="48" customFormat="1" ht="12">
      <c r="B94" s="53"/>
      <c r="C94" s="78"/>
      <c r="D94" s="70"/>
      <c r="E94" s="45"/>
      <c r="F94" s="45"/>
      <c r="G94" s="45"/>
      <c r="H94" s="44"/>
      <c r="I94" s="70"/>
      <c r="J94" s="45"/>
      <c r="K94" s="45"/>
      <c r="L94" s="45"/>
      <c r="M94" s="44"/>
      <c r="N94" s="46"/>
    </row>
    <row r="95" spans="2:14" s="48" customFormat="1" ht="12">
      <c r="B95" s="53"/>
      <c r="C95" s="78"/>
      <c r="D95" s="70"/>
      <c r="E95" s="45"/>
      <c r="F95" s="45"/>
      <c r="G95" s="45"/>
      <c r="H95" s="44"/>
      <c r="I95" s="70"/>
      <c r="J95" s="45"/>
      <c r="K95" s="45"/>
      <c r="L95" s="45"/>
      <c r="M95" s="44"/>
      <c r="N95" s="46"/>
    </row>
    <row r="96" spans="2:14" s="48" customFormat="1" ht="12">
      <c r="B96" s="53"/>
      <c r="C96" s="78"/>
      <c r="D96" s="70"/>
      <c r="E96" s="45"/>
      <c r="F96" s="45"/>
      <c r="G96" s="45"/>
      <c r="H96" s="44"/>
      <c r="I96" s="70"/>
      <c r="J96" s="45"/>
      <c r="K96" s="45"/>
      <c r="L96" s="45"/>
      <c r="M96" s="44"/>
      <c r="N96" s="46"/>
    </row>
    <row r="97" spans="2:14" s="48" customFormat="1" ht="12">
      <c r="B97" s="53"/>
      <c r="C97" s="78"/>
      <c r="D97" s="70"/>
      <c r="E97" s="45"/>
      <c r="F97" s="45"/>
      <c r="G97" s="45"/>
      <c r="H97" s="44"/>
      <c r="I97" s="70"/>
      <c r="J97" s="45"/>
      <c r="K97" s="45"/>
      <c r="L97" s="45"/>
      <c r="M97" s="44"/>
      <c r="N97" s="46"/>
    </row>
    <row r="98" spans="2:14" s="48" customFormat="1" ht="12">
      <c r="B98" s="53"/>
      <c r="C98" s="78"/>
      <c r="D98" s="70"/>
      <c r="E98" s="45"/>
      <c r="F98" s="45"/>
      <c r="G98" s="45"/>
      <c r="H98" s="44"/>
      <c r="I98" s="70"/>
      <c r="J98" s="45"/>
      <c r="K98" s="45"/>
      <c r="L98" s="45"/>
      <c r="M98" s="44"/>
      <c r="N98" s="46"/>
    </row>
    <row r="99" spans="2:14" s="48" customFormat="1" ht="12">
      <c r="B99" s="53"/>
      <c r="C99" s="78"/>
      <c r="D99" s="70"/>
      <c r="E99" s="45"/>
      <c r="F99" s="45"/>
      <c r="G99" s="45"/>
      <c r="H99" s="44"/>
      <c r="I99" s="70"/>
      <c r="J99" s="45"/>
      <c r="K99" s="45"/>
      <c r="L99" s="45"/>
      <c r="M99" s="44"/>
      <c r="N99" s="46"/>
    </row>
    <row r="100" spans="2:14" s="48" customFormat="1" ht="12">
      <c r="B100" s="53"/>
      <c r="C100" s="78"/>
      <c r="D100" s="70"/>
      <c r="E100" s="45"/>
      <c r="F100" s="45"/>
      <c r="G100" s="45"/>
      <c r="H100" s="44"/>
      <c r="I100" s="70"/>
      <c r="J100" s="45"/>
      <c r="K100" s="45"/>
      <c r="L100" s="45"/>
      <c r="M100" s="44"/>
      <c r="N100" s="46"/>
    </row>
    <row r="101" spans="2:14" s="48" customFormat="1" ht="12">
      <c r="B101" s="53"/>
      <c r="C101" s="78"/>
      <c r="D101" s="70"/>
      <c r="E101" s="45"/>
      <c r="F101" s="45"/>
      <c r="G101" s="45"/>
      <c r="H101" s="44"/>
      <c r="I101" s="70"/>
      <c r="J101" s="45"/>
      <c r="K101" s="45"/>
      <c r="L101" s="45"/>
      <c r="M101" s="44"/>
      <c r="N101" s="46"/>
    </row>
    <row r="102" spans="2:14" s="48" customFormat="1" ht="12">
      <c r="B102" s="53"/>
      <c r="C102" s="78"/>
      <c r="D102" s="70"/>
      <c r="E102" s="45"/>
      <c r="F102" s="45"/>
      <c r="G102" s="45"/>
      <c r="H102" s="44"/>
      <c r="I102" s="70"/>
      <c r="J102" s="45"/>
      <c r="K102" s="45"/>
      <c r="L102" s="45"/>
      <c r="M102" s="44"/>
      <c r="N102" s="46"/>
    </row>
    <row r="103" spans="2:14" s="48" customFormat="1" ht="12">
      <c r="B103" s="53"/>
      <c r="C103" s="78"/>
      <c r="D103" s="70"/>
      <c r="E103" s="45"/>
      <c r="F103" s="45"/>
      <c r="G103" s="45"/>
      <c r="H103" s="44"/>
      <c r="I103" s="70"/>
      <c r="J103" s="45"/>
      <c r="K103" s="45"/>
      <c r="L103" s="45"/>
      <c r="M103" s="44"/>
      <c r="N103" s="46"/>
    </row>
    <row r="104" spans="2:14" s="48" customFormat="1" ht="12">
      <c r="B104" s="53"/>
      <c r="C104" s="78"/>
      <c r="D104" s="70"/>
      <c r="E104" s="45"/>
      <c r="F104" s="45"/>
      <c r="G104" s="45"/>
      <c r="H104" s="44"/>
      <c r="I104" s="70"/>
      <c r="J104" s="45"/>
      <c r="K104" s="45"/>
      <c r="L104" s="45"/>
      <c r="M104" s="44"/>
      <c r="N104" s="46"/>
    </row>
    <row r="105" spans="2:14" s="48" customFormat="1" ht="12">
      <c r="B105" s="53"/>
      <c r="C105" s="78"/>
      <c r="D105" s="70"/>
      <c r="E105" s="45"/>
      <c r="F105" s="45"/>
      <c r="G105" s="45"/>
      <c r="H105" s="44"/>
      <c r="I105" s="70"/>
      <c r="J105" s="45"/>
      <c r="K105" s="45"/>
      <c r="L105" s="45"/>
      <c r="M105" s="44"/>
      <c r="N105" s="46"/>
    </row>
    <row r="106" spans="2:14" s="48" customFormat="1" ht="12">
      <c r="B106" s="53"/>
      <c r="C106" s="78"/>
      <c r="D106" s="70"/>
      <c r="E106" s="45"/>
      <c r="F106" s="45"/>
      <c r="G106" s="45"/>
      <c r="H106" s="44"/>
      <c r="I106" s="70"/>
      <c r="J106" s="45"/>
      <c r="K106" s="45"/>
      <c r="L106" s="45"/>
      <c r="M106" s="44"/>
      <c r="N106" s="46"/>
    </row>
    <row r="107" spans="2:14" s="48" customFormat="1" ht="12">
      <c r="B107" s="53"/>
      <c r="C107" s="78"/>
      <c r="D107" s="70"/>
      <c r="E107" s="45"/>
      <c r="F107" s="45"/>
      <c r="G107" s="45"/>
      <c r="H107" s="44"/>
      <c r="I107" s="70"/>
      <c r="J107" s="45"/>
      <c r="K107" s="45"/>
      <c r="L107" s="45"/>
      <c r="M107" s="44"/>
      <c r="N107" s="46"/>
    </row>
    <row r="108" spans="2:14" s="48" customFormat="1" ht="12">
      <c r="B108" s="53"/>
      <c r="C108" s="78"/>
      <c r="D108" s="70"/>
      <c r="E108" s="45"/>
      <c r="F108" s="45"/>
      <c r="G108" s="45"/>
      <c r="H108" s="44"/>
      <c r="I108" s="70"/>
      <c r="J108" s="45"/>
      <c r="K108" s="45"/>
      <c r="L108" s="45"/>
      <c r="M108" s="44"/>
      <c r="N108" s="46"/>
    </row>
    <row r="109" spans="2:14" s="48" customFormat="1" ht="12">
      <c r="B109" s="53"/>
      <c r="C109" s="78"/>
      <c r="D109" s="70"/>
      <c r="E109" s="45"/>
      <c r="F109" s="45"/>
      <c r="G109" s="45"/>
      <c r="H109" s="44"/>
      <c r="I109" s="70"/>
      <c r="J109" s="45"/>
      <c r="K109" s="45"/>
      <c r="L109" s="45"/>
      <c r="M109" s="44"/>
      <c r="N109" s="46"/>
    </row>
    <row r="110" spans="2:14" s="48" customFormat="1" ht="12">
      <c r="B110" s="53"/>
      <c r="C110" s="78"/>
      <c r="D110" s="70"/>
      <c r="E110" s="45"/>
      <c r="F110" s="45"/>
      <c r="G110" s="45"/>
      <c r="H110" s="44"/>
      <c r="I110" s="70"/>
      <c r="J110" s="45"/>
      <c r="K110" s="45"/>
      <c r="L110" s="45"/>
      <c r="M110" s="44"/>
      <c r="N110" s="46"/>
    </row>
    <row r="111" spans="2:14" s="48" customFormat="1" ht="12">
      <c r="B111" s="53"/>
      <c r="C111" s="78"/>
      <c r="D111" s="70"/>
      <c r="E111" s="45"/>
      <c r="F111" s="45"/>
      <c r="G111" s="45"/>
      <c r="H111" s="44"/>
      <c r="I111" s="70"/>
      <c r="J111" s="45"/>
      <c r="K111" s="45"/>
      <c r="L111" s="45"/>
      <c r="M111" s="44"/>
      <c r="N111" s="46"/>
    </row>
    <row r="112" spans="2:14" s="48" customFormat="1" ht="12">
      <c r="B112" s="53"/>
      <c r="C112" s="78"/>
      <c r="D112" s="70"/>
      <c r="E112" s="45"/>
      <c r="F112" s="45"/>
      <c r="G112" s="45"/>
      <c r="H112" s="44"/>
      <c r="I112" s="70"/>
      <c r="J112" s="45"/>
      <c r="K112" s="45"/>
      <c r="L112" s="45"/>
      <c r="M112" s="44"/>
      <c r="N112" s="46"/>
    </row>
    <row r="113" spans="2:14" s="48" customFormat="1" ht="12">
      <c r="B113" s="53"/>
      <c r="C113" s="78"/>
      <c r="D113" s="70"/>
      <c r="E113" s="45"/>
      <c r="F113" s="45"/>
      <c r="G113" s="45"/>
      <c r="H113" s="44"/>
      <c r="I113" s="70"/>
      <c r="J113" s="45"/>
      <c r="K113" s="45"/>
      <c r="L113" s="45"/>
      <c r="M113" s="44"/>
      <c r="N113" s="46"/>
    </row>
    <row r="114" spans="2:14" s="48" customFormat="1" ht="12">
      <c r="B114" s="53"/>
      <c r="C114" s="78"/>
      <c r="D114" s="70"/>
      <c r="E114" s="45"/>
      <c r="F114" s="45"/>
      <c r="G114" s="45"/>
      <c r="H114" s="44"/>
      <c r="I114" s="70"/>
      <c r="J114" s="45"/>
      <c r="K114" s="45"/>
      <c r="L114" s="45"/>
      <c r="M114" s="44"/>
      <c r="N114" s="46"/>
    </row>
    <row r="115" spans="2:14" s="48" customFormat="1" ht="12">
      <c r="B115" s="53"/>
      <c r="C115" s="78"/>
      <c r="D115" s="70"/>
      <c r="E115" s="45"/>
      <c r="F115" s="45"/>
      <c r="G115" s="45"/>
      <c r="H115" s="44"/>
      <c r="I115" s="70"/>
      <c r="J115" s="45"/>
      <c r="K115" s="45"/>
      <c r="L115" s="45"/>
      <c r="M115" s="44"/>
      <c r="N115" s="46"/>
    </row>
    <row r="116" spans="2:14" s="48" customFormat="1" ht="12">
      <c r="B116" s="53"/>
      <c r="C116" s="78"/>
      <c r="D116" s="70"/>
      <c r="E116" s="45"/>
      <c r="F116" s="45"/>
      <c r="G116" s="45"/>
      <c r="H116" s="44"/>
      <c r="I116" s="70"/>
      <c r="J116" s="45"/>
      <c r="K116" s="45"/>
      <c r="L116" s="45"/>
      <c r="M116" s="44"/>
      <c r="N116" s="46"/>
    </row>
    <row r="117" spans="2:14" s="48" customFormat="1" ht="12">
      <c r="B117" s="53"/>
      <c r="C117" s="78"/>
      <c r="D117" s="70"/>
      <c r="E117" s="45"/>
      <c r="F117" s="45"/>
      <c r="G117" s="45"/>
      <c r="H117" s="44"/>
      <c r="I117" s="70"/>
      <c r="J117" s="45"/>
      <c r="K117" s="45"/>
      <c r="L117" s="45"/>
      <c r="M117" s="44"/>
      <c r="N117" s="46"/>
    </row>
    <row r="118" spans="2:14" s="48" customFormat="1" ht="12">
      <c r="B118" s="53"/>
      <c r="C118" s="78"/>
      <c r="D118" s="70"/>
      <c r="E118" s="45"/>
      <c r="F118" s="45"/>
      <c r="G118" s="45"/>
      <c r="H118" s="44"/>
      <c r="I118" s="70"/>
      <c r="J118" s="45"/>
      <c r="K118" s="45"/>
      <c r="L118" s="45"/>
      <c r="M118" s="44"/>
      <c r="N118" s="46"/>
    </row>
    <row r="119" spans="2:14" s="48" customFormat="1" ht="12">
      <c r="B119" s="53"/>
      <c r="C119" s="78"/>
      <c r="D119" s="70"/>
      <c r="E119" s="45"/>
      <c r="F119" s="45"/>
      <c r="G119" s="45"/>
      <c r="H119" s="44"/>
      <c r="I119" s="70"/>
      <c r="J119" s="45"/>
      <c r="K119" s="45"/>
      <c r="L119" s="45"/>
      <c r="M119" s="44"/>
      <c r="N119" s="46"/>
    </row>
    <row r="120" spans="2:14" s="48" customFormat="1" ht="12">
      <c r="B120" s="53"/>
      <c r="C120" s="78"/>
      <c r="D120" s="70"/>
      <c r="E120" s="45"/>
      <c r="F120" s="45"/>
      <c r="G120" s="45"/>
      <c r="H120" s="44"/>
      <c r="I120" s="70"/>
      <c r="J120" s="45"/>
      <c r="K120" s="45"/>
      <c r="L120" s="45"/>
      <c r="M120" s="44"/>
      <c r="N120" s="46"/>
    </row>
    <row r="121" spans="2:14" s="48" customFormat="1" ht="12">
      <c r="B121" s="53"/>
      <c r="C121" s="78"/>
      <c r="D121" s="70"/>
      <c r="E121" s="45"/>
      <c r="F121" s="45"/>
      <c r="G121" s="45"/>
      <c r="H121" s="44"/>
      <c r="I121" s="70"/>
      <c r="J121" s="45"/>
      <c r="K121" s="45"/>
      <c r="L121" s="45"/>
      <c r="M121" s="44"/>
      <c r="N121" s="46"/>
    </row>
    <row r="122" spans="2:14" s="48" customFormat="1" ht="12">
      <c r="B122" s="53"/>
      <c r="C122" s="78"/>
      <c r="D122" s="70"/>
      <c r="E122" s="45"/>
      <c r="F122" s="45"/>
      <c r="G122" s="45"/>
      <c r="H122" s="44"/>
      <c r="I122" s="70"/>
      <c r="J122" s="45"/>
      <c r="K122" s="45"/>
      <c r="L122" s="45"/>
      <c r="M122" s="44"/>
      <c r="N122" s="46"/>
    </row>
    <row r="123" spans="2:14" s="48" customFormat="1" ht="12">
      <c r="B123" s="53"/>
      <c r="C123" s="78"/>
      <c r="D123" s="70"/>
      <c r="E123" s="45"/>
      <c r="F123" s="45"/>
      <c r="G123" s="45"/>
      <c r="H123" s="44"/>
      <c r="I123" s="70"/>
      <c r="J123" s="45"/>
      <c r="K123" s="45"/>
      <c r="L123" s="45"/>
      <c r="M123" s="44"/>
      <c r="N123" s="46"/>
    </row>
    <row r="124" spans="2:14" s="48" customFormat="1" ht="12">
      <c r="B124" s="53"/>
      <c r="C124" s="78"/>
      <c r="D124" s="70"/>
      <c r="E124" s="45"/>
      <c r="F124" s="45"/>
      <c r="G124" s="45"/>
      <c r="H124" s="44"/>
      <c r="I124" s="70"/>
      <c r="J124" s="45"/>
      <c r="K124" s="45"/>
      <c r="L124" s="45"/>
      <c r="M124" s="44"/>
      <c r="N124" s="46"/>
    </row>
    <row r="125" spans="2:14" s="48" customFormat="1" ht="12">
      <c r="B125" s="53"/>
      <c r="C125" s="78"/>
      <c r="D125" s="70"/>
      <c r="E125" s="45"/>
      <c r="F125" s="45"/>
      <c r="G125" s="45"/>
      <c r="H125" s="44"/>
      <c r="I125" s="70"/>
      <c r="J125" s="45"/>
      <c r="K125" s="45"/>
      <c r="L125" s="45"/>
      <c r="M125" s="44"/>
      <c r="N125" s="46"/>
    </row>
    <row r="126" spans="2:14" s="48" customFormat="1" ht="12">
      <c r="B126" s="53"/>
      <c r="C126" s="78"/>
      <c r="D126" s="70"/>
      <c r="E126" s="45"/>
      <c r="F126" s="45"/>
      <c r="G126" s="45"/>
      <c r="H126" s="44"/>
      <c r="I126" s="70"/>
      <c r="J126" s="45"/>
      <c r="K126" s="45"/>
      <c r="L126" s="45"/>
      <c r="M126" s="44"/>
      <c r="N126" s="46"/>
    </row>
    <row r="127" spans="2:14" s="48" customFormat="1" ht="12">
      <c r="B127" s="53"/>
      <c r="C127" s="78"/>
      <c r="D127" s="70"/>
      <c r="E127" s="45"/>
      <c r="F127" s="45"/>
      <c r="G127" s="45"/>
      <c r="H127" s="44"/>
      <c r="I127" s="70"/>
      <c r="J127" s="45"/>
      <c r="K127" s="45"/>
      <c r="L127" s="45"/>
      <c r="M127" s="44"/>
      <c r="N127" s="46"/>
    </row>
    <row r="128" spans="2:14" s="48" customFormat="1" ht="12">
      <c r="B128" s="53"/>
      <c r="C128" s="78"/>
      <c r="D128" s="70"/>
      <c r="E128" s="45"/>
      <c r="F128" s="45"/>
      <c r="G128" s="45"/>
      <c r="H128" s="44"/>
      <c r="I128" s="70"/>
      <c r="J128" s="45"/>
      <c r="K128" s="45"/>
      <c r="L128" s="45"/>
      <c r="M128" s="44"/>
      <c r="N128" s="46"/>
    </row>
    <row r="129" spans="2:14" s="48" customFormat="1" ht="12">
      <c r="B129" s="53"/>
      <c r="C129" s="78"/>
      <c r="D129" s="70"/>
      <c r="E129" s="45"/>
      <c r="F129" s="45"/>
      <c r="G129" s="45"/>
      <c r="H129" s="44"/>
      <c r="I129" s="70"/>
      <c r="J129" s="45"/>
      <c r="K129" s="45"/>
      <c r="L129" s="45"/>
      <c r="M129" s="44"/>
      <c r="N129" s="46"/>
    </row>
    <row r="130" spans="2:14" s="48" customFormat="1" ht="12">
      <c r="B130" s="53"/>
      <c r="C130" s="78"/>
      <c r="D130" s="70"/>
      <c r="E130" s="45"/>
      <c r="F130" s="45"/>
      <c r="G130" s="45"/>
      <c r="H130" s="44"/>
      <c r="I130" s="70"/>
      <c r="J130" s="45"/>
      <c r="K130" s="45"/>
      <c r="L130" s="45"/>
      <c r="M130" s="44"/>
      <c r="N130" s="46"/>
    </row>
    <row r="131" spans="2:14" s="48" customFormat="1" ht="12">
      <c r="B131" s="53"/>
      <c r="C131" s="78"/>
      <c r="D131" s="70"/>
      <c r="E131" s="45"/>
      <c r="F131" s="45"/>
      <c r="G131" s="45"/>
      <c r="H131" s="44"/>
      <c r="I131" s="70"/>
      <c r="J131" s="45"/>
      <c r="K131" s="45"/>
      <c r="L131" s="45"/>
      <c r="M131" s="44"/>
      <c r="N131" s="46"/>
    </row>
    <row r="132" spans="2:14" s="48" customFormat="1" ht="12">
      <c r="B132" s="53"/>
      <c r="C132" s="78"/>
      <c r="D132" s="70"/>
      <c r="E132" s="45"/>
      <c r="F132" s="45"/>
      <c r="G132" s="45"/>
      <c r="H132" s="44"/>
      <c r="I132" s="70"/>
      <c r="J132" s="45"/>
      <c r="K132" s="45"/>
      <c r="L132" s="45"/>
      <c r="M132" s="44"/>
      <c r="N132" s="46"/>
    </row>
    <row r="133" spans="2:14" s="48" customFormat="1" ht="12">
      <c r="B133" s="53"/>
      <c r="C133" s="78"/>
      <c r="D133" s="70"/>
      <c r="E133" s="45"/>
      <c r="F133" s="45"/>
      <c r="G133" s="45"/>
      <c r="H133" s="44"/>
      <c r="I133" s="70"/>
      <c r="J133" s="45"/>
      <c r="K133" s="45"/>
      <c r="L133" s="45"/>
      <c r="M133" s="44"/>
      <c r="N133" s="46"/>
    </row>
    <row r="134" spans="2:14" s="48" customFormat="1" ht="12">
      <c r="B134" s="53"/>
      <c r="C134" s="78"/>
      <c r="D134" s="70"/>
      <c r="E134" s="45"/>
      <c r="F134" s="45"/>
      <c r="G134" s="45"/>
      <c r="H134" s="44"/>
      <c r="I134" s="70"/>
      <c r="J134" s="45"/>
      <c r="K134" s="45"/>
      <c r="L134" s="45"/>
      <c r="M134" s="44"/>
      <c r="N134" s="46"/>
    </row>
    <row r="135" spans="2:14" s="48" customFormat="1" ht="12">
      <c r="B135" s="53"/>
      <c r="C135" s="78"/>
      <c r="D135" s="70"/>
      <c r="E135" s="45"/>
      <c r="F135" s="45"/>
      <c r="G135" s="45"/>
      <c r="H135" s="44"/>
      <c r="I135" s="70"/>
      <c r="J135" s="45"/>
      <c r="K135" s="45"/>
      <c r="L135" s="45"/>
      <c r="M135" s="44"/>
      <c r="N135" s="46"/>
    </row>
    <row r="136" spans="2:14" s="48" customFormat="1" ht="12">
      <c r="B136" s="53"/>
      <c r="C136" s="78"/>
      <c r="D136" s="70"/>
      <c r="E136" s="45"/>
      <c r="F136" s="45"/>
      <c r="G136" s="45"/>
      <c r="H136" s="44"/>
      <c r="I136" s="70"/>
      <c r="J136" s="45"/>
      <c r="K136" s="45"/>
      <c r="L136" s="45"/>
      <c r="M136" s="44"/>
      <c r="N136" s="46"/>
    </row>
    <row r="137" spans="2:14" s="48" customFormat="1" ht="12">
      <c r="B137" s="53"/>
      <c r="C137" s="78"/>
      <c r="D137" s="70"/>
      <c r="E137" s="45"/>
      <c r="F137" s="45"/>
      <c r="G137" s="45"/>
      <c r="H137" s="44"/>
      <c r="I137" s="70"/>
      <c r="J137" s="45"/>
      <c r="K137" s="45"/>
      <c r="L137" s="45"/>
      <c r="M137" s="44"/>
      <c r="N137" s="46"/>
    </row>
    <row r="138" spans="2:14" s="48" customFormat="1" ht="12">
      <c r="B138" s="53"/>
      <c r="C138" s="78"/>
      <c r="D138" s="70"/>
      <c r="E138" s="45"/>
      <c r="F138" s="45"/>
      <c r="G138" s="45"/>
      <c r="H138" s="44"/>
      <c r="I138" s="70"/>
      <c r="J138" s="45"/>
      <c r="K138" s="45"/>
      <c r="L138" s="45"/>
      <c r="M138" s="44"/>
      <c r="N138" s="46"/>
    </row>
  </sheetData>
  <printOptions gridLines="1" horizontalCentered="1"/>
  <pageMargins left="0.3937007874015748" right="0.3937007874015748" top="0.5905511811023623" bottom="0.5905511811023623" header="0.5118110236220472" footer="0.31496062992125984"/>
  <pageSetup firstPageNumber="23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00390625" style="69" customWidth="1"/>
    <col min="5" max="7" width="9.8515625" style="8" customWidth="1"/>
    <col min="8" max="8" width="3.8515625" style="91" customWidth="1"/>
    <col min="9" max="9" width="7.57421875" style="69" bestFit="1" customWidth="1"/>
    <col min="10" max="12" width="9.8515625" style="8" customWidth="1"/>
    <col min="13" max="13" width="3.8515625" style="91" customWidth="1"/>
    <col min="14" max="14" width="31.003906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362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0" customFormat="1" ht="15.75">
      <c r="A4" s="85"/>
      <c r="B4" s="119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06"/>
      <c r="N4" s="134"/>
    </row>
    <row r="5" spans="1:14" ht="39" customHeight="1">
      <c r="A5" s="99" t="s">
        <v>399</v>
      </c>
      <c r="B5" s="111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50"/>
    </row>
    <row r="7" spans="1:14" s="260" customFormat="1" ht="24" customHeight="1">
      <c r="A7" s="333" t="s">
        <v>449</v>
      </c>
      <c r="B7" s="401"/>
      <c r="C7" s="100"/>
      <c r="D7" s="243">
        <f>SUM(D8:D9)</f>
        <v>63</v>
      </c>
      <c r="E7" s="243"/>
      <c r="F7" s="243"/>
      <c r="G7" s="243"/>
      <c r="H7" s="308"/>
      <c r="I7" s="243">
        <f>SUM(I8:I9)</f>
        <v>63</v>
      </c>
      <c r="J7" s="243"/>
      <c r="K7" s="243"/>
      <c r="L7" s="243"/>
      <c r="M7" s="309"/>
      <c r="N7" s="331"/>
    </row>
    <row r="8" spans="1:14" s="260" customFormat="1" ht="24">
      <c r="A8" s="400"/>
      <c r="B8" s="260" t="s">
        <v>226</v>
      </c>
      <c r="C8" s="100"/>
      <c r="D8" s="98">
        <v>46</v>
      </c>
      <c r="E8" s="98" t="s">
        <v>142</v>
      </c>
      <c r="F8" s="98" t="s">
        <v>145</v>
      </c>
      <c r="G8" s="259">
        <v>36991</v>
      </c>
      <c r="H8" s="308"/>
      <c r="I8" s="98">
        <v>46</v>
      </c>
      <c r="J8" s="98" t="s">
        <v>142</v>
      </c>
      <c r="K8" s="98" t="s">
        <v>145</v>
      </c>
      <c r="L8" s="259">
        <v>36991</v>
      </c>
      <c r="M8" s="309"/>
      <c r="N8" s="306"/>
    </row>
    <row r="9" spans="1:14" s="260" customFormat="1" ht="24">
      <c r="A9" s="400"/>
      <c r="B9" s="260" t="s">
        <v>226</v>
      </c>
      <c r="C9" s="100"/>
      <c r="D9" s="98">
        <v>17</v>
      </c>
      <c r="E9" s="98" t="s">
        <v>142</v>
      </c>
      <c r="F9" s="98" t="s">
        <v>145</v>
      </c>
      <c r="G9" s="259">
        <v>37238</v>
      </c>
      <c r="H9" s="308"/>
      <c r="I9" s="98">
        <v>17</v>
      </c>
      <c r="J9" s="98" t="s">
        <v>142</v>
      </c>
      <c r="K9" s="98" t="s">
        <v>145</v>
      </c>
      <c r="L9" s="259">
        <v>37238</v>
      </c>
      <c r="M9" s="309"/>
      <c r="N9" s="306"/>
    </row>
    <row r="10" spans="1:14" s="238" customFormat="1" ht="21.75" customHeight="1">
      <c r="A10" s="155" t="s">
        <v>393</v>
      </c>
      <c r="B10" s="348"/>
      <c r="C10" s="64"/>
      <c r="D10" s="243">
        <f>+D11</f>
        <v>43</v>
      </c>
      <c r="E10" s="98"/>
      <c r="F10" s="98"/>
      <c r="G10" s="98"/>
      <c r="H10" s="236"/>
      <c r="I10" s="243">
        <f>+I11</f>
        <v>43</v>
      </c>
      <c r="J10" s="98"/>
      <c r="K10" s="98"/>
      <c r="L10" s="98"/>
      <c r="M10" s="235"/>
      <c r="N10" s="306"/>
    </row>
    <row r="11" spans="1:14" s="238" customFormat="1" ht="24">
      <c r="A11" s="155"/>
      <c r="B11" s="260" t="s">
        <v>154</v>
      </c>
      <c r="C11" s="64"/>
      <c r="D11" s="98">
        <v>43</v>
      </c>
      <c r="E11" s="98" t="s">
        <v>155</v>
      </c>
      <c r="F11" s="98" t="s">
        <v>145</v>
      </c>
      <c r="G11" s="259">
        <v>36908</v>
      </c>
      <c r="H11" s="236"/>
      <c r="I11" s="98">
        <v>43</v>
      </c>
      <c r="J11" s="98" t="s">
        <v>155</v>
      </c>
      <c r="K11" s="98" t="s">
        <v>145</v>
      </c>
      <c r="L11" s="259">
        <v>36908</v>
      </c>
      <c r="M11" s="235"/>
      <c r="N11" s="306" t="s">
        <v>156</v>
      </c>
    </row>
    <row r="12" spans="1:14" s="238" customFormat="1" ht="21" customHeight="1">
      <c r="A12" s="155" t="s">
        <v>394</v>
      </c>
      <c r="B12" s="260"/>
      <c r="C12" s="64"/>
      <c r="D12" s="243">
        <f>+D13</f>
        <v>41</v>
      </c>
      <c r="E12" s="98"/>
      <c r="F12" s="98"/>
      <c r="G12" s="259"/>
      <c r="H12" s="236"/>
      <c r="I12" s="243">
        <f>+I13</f>
        <v>41</v>
      </c>
      <c r="J12" s="98"/>
      <c r="K12" s="98"/>
      <c r="L12" s="259"/>
      <c r="M12" s="235"/>
      <c r="N12" s="306"/>
    </row>
    <row r="13" spans="1:14" s="238" customFormat="1" ht="24">
      <c r="A13" s="155"/>
      <c r="B13" s="260" t="s">
        <v>235</v>
      </c>
      <c r="C13" s="64"/>
      <c r="D13" s="98">
        <v>41</v>
      </c>
      <c r="E13" s="98" t="s">
        <v>155</v>
      </c>
      <c r="F13" s="98" t="s">
        <v>145</v>
      </c>
      <c r="G13" s="259">
        <v>36986</v>
      </c>
      <c r="H13" s="236"/>
      <c r="I13" s="98">
        <v>41</v>
      </c>
      <c r="J13" s="98" t="s">
        <v>155</v>
      </c>
      <c r="K13" s="98" t="s">
        <v>145</v>
      </c>
      <c r="L13" s="259">
        <v>36986</v>
      </c>
      <c r="M13" s="235"/>
      <c r="N13" s="306" t="s">
        <v>174</v>
      </c>
    </row>
    <row r="14" spans="1:14" s="238" customFormat="1" ht="12">
      <c r="A14" s="155"/>
      <c r="B14" s="260"/>
      <c r="C14" s="64"/>
      <c r="D14" s="98"/>
      <c r="E14" s="98"/>
      <c r="F14" s="98"/>
      <c r="G14" s="259"/>
      <c r="H14" s="236"/>
      <c r="I14" s="98"/>
      <c r="J14" s="98"/>
      <c r="K14" s="98"/>
      <c r="L14" s="259"/>
      <c r="M14" s="235"/>
      <c r="N14" s="306"/>
    </row>
    <row r="15" spans="1:14" s="14" customFormat="1" ht="24" customHeight="1">
      <c r="A15" s="269"/>
      <c r="B15" s="288" t="s">
        <v>206</v>
      </c>
      <c r="C15" s="275"/>
      <c r="D15" s="271">
        <f>D7+D10+D12</f>
        <v>147</v>
      </c>
      <c r="E15" s="271"/>
      <c r="F15" s="271"/>
      <c r="G15" s="271"/>
      <c r="H15" s="280"/>
      <c r="I15" s="271">
        <f>I7+I10+I12</f>
        <v>147</v>
      </c>
      <c r="J15" s="271"/>
      <c r="K15" s="271"/>
      <c r="L15" s="271"/>
      <c r="M15" s="92"/>
      <c r="N15" s="158"/>
    </row>
    <row r="16" spans="2:14" s="48" customFormat="1" ht="12.75" customHeight="1">
      <c r="B16" s="53"/>
      <c r="C16" s="78"/>
      <c r="D16" s="70"/>
      <c r="E16" s="45"/>
      <c r="F16" s="45"/>
      <c r="G16" s="45"/>
      <c r="H16" s="44"/>
      <c r="I16" s="70"/>
      <c r="J16" s="45"/>
      <c r="K16" s="45"/>
      <c r="L16" s="45"/>
      <c r="M16" s="44"/>
      <c r="N16" s="46"/>
    </row>
  </sheetData>
  <printOptions gridLines="1" horizontalCentered="1"/>
  <pageMargins left="0.3937007874015748" right="0.3937007874015748" top="0.5905511811023623" bottom="0.5905511811023623" header="0.5118110236220472" footer="0.31496062992125984"/>
  <pageSetup firstPageNumber="24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5">
      <selection activeCell="A1" sqref="A1:D1"/>
    </sheetView>
  </sheetViews>
  <sheetFormatPr defaultColWidth="9.140625" defaultRowHeight="12.75"/>
  <cols>
    <col min="1" max="1" width="47.28125" style="534" customWidth="1"/>
    <col min="2" max="2" width="16.8515625" style="534" bestFit="1" customWidth="1"/>
    <col min="3" max="16384" width="9.140625" style="534" customWidth="1"/>
  </cols>
  <sheetData>
    <row r="1" spans="1:4" ht="18.75">
      <c r="A1" s="551" t="s">
        <v>461</v>
      </c>
      <c r="B1" s="551"/>
      <c r="C1" s="551"/>
      <c r="D1" s="551"/>
    </row>
    <row r="3" ht="28.5" customHeight="1">
      <c r="B3" s="535" t="s">
        <v>462</v>
      </c>
    </row>
    <row r="4" spans="1:2" s="538" customFormat="1" ht="26.25" customHeight="1">
      <c r="A4" s="541" t="s">
        <v>155</v>
      </c>
      <c r="B4" s="542">
        <v>69089</v>
      </c>
    </row>
    <row r="5" spans="1:2" s="536" customFormat="1" ht="12.75">
      <c r="A5" s="536" t="s">
        <v>463</v>
      </c>
      <c r="B5" s="540"/>
    </row>
    <row r="6" spans="1:2" ht="12.75">
      <c r="A6" s="537" t="s">
        <v>464</v>
      </c>
      <c r="B6" s="539">
        <v>59957</v>
      </c>
    </row>
    <row r="7" spans="1:4" ht="12.75">
      <c r="A7" s="537" t="s">
        <v>465</v>
      </c>
      <c r="B7" s="539">
        <v>9132</v>
      </c>
      <c r="D7" s="539"/>
    </row>
    <row r="8" ht="12.75">
      <c r="B8" s="539"/>
    </row>
    <row r="9" spans="1:2" s="538" customFormat="1" ht="15">
      <c r="A9" s="541" t="s">
        <v>466</v>
      </c>
      <c r="B9" s="542">
        <v>58812</v>
      </c>
    </row>
    <row r="10" spans="1:2" s="536" customFormat="1" ht="12.75">
      <c r="A10" s="536" t="s">
        <v>467</v>
      </c>
      <c r="B10" s="540"/>
    </row>
    <row r="11" spans="1:2" ht="12.75">
      <c r="A11" s="537" t="s">
        <v>142</v>
      </c>
      <c r="B11" s="539">
        <f>2020+306+275+43+14+6+26+75+76+11+1782+1000+805+195+740+30+42+128+73+26+103+20+1050+980+1313+500+44+26+550+256+1250+17+8+39+17+9+2+28+24+6+6+46+17+106+36+180+15</f>
        <v>14321</v>
      </c>
    </row>
    <row r="12" spans="1:2" ht="12.75">
      <c r="A12" s="537" t="s">
        <v>468</v>
      </c>
      <c r="B12" s="539">
        <f>21+898+300+100+16+350+92+270+751+12+1011+758+128+46+1309+132+300+250+100+157+8+11+200+239+2+41+8+18+46</f>
        <v>7574</v>
      </c>
    </row>
    <row r="13" spans="1:2" ht="12.75">
      <c r="A13" s="537" t="s">
        <v>469</v>
      </c>
      <c r="B13" s="539">
        <v>28900</v>
      </c>
    </row>
    <row r="14" spans="1:3" ht="25.5">
      <c r="A14" s="543" t="s">
        <v>474</v>
      </c>
      <c r="B14" s="539">
        <f>900+975</f>
        <v>1875</v>
      </c>
      <c r="C14" s="546" t="s">
        <v>477</v>
      </c>
    </row>
    <row r="15" spans="1:3" ht="12.75">
      <c r="A15" s="537" t="s">
        <v>471</v>
      </c>
      <c r="B15" s="539">
        <v>2472</v>
      </c>
      <c r="C15" s="539"/>
    </row>
    <row r="16" spans="1:3" ht="12.75">
      <c r="A16" s="537" t="s">
        <v>478</v>
      </c>
      <c r="B16" s="539">
        <f>41+2114+245+150+289+531+90+50+8+44+45+23+4+36</f>
        <v>3670</v>
      </c>
      <c r="C16" s="539"/>
    </row>
    <row r="17" ht="12.75">
      <c r="B17" s="539"/>
    </row>
    <row r="18" spans="1:2" s="538" customFormat="1" ht="15">
      <c r="A18" s="541" t="s">
        <v>470</v>
      </c>
      <c r="B18" s="542">
        <v>14315</v>
      </c>
    </row>
    <row r="19" spans="1:2" s="536" customFormat="1" ht="12.75">
      <c r="A19" s="536" t="s">
        <v>467</v>
      </c>
      <c r="B19" s="540"/>
    </row>
    <row r="20" spans="1:3" ht="25.5">
      <c r="A20" s="543" t="s">
        <v>475</v>
      </c>
      <c r="B20" s="539">
        <f>9867-900-975</f>
        <v>7992</v>
      </c>
      <c r="C20" s="546" t="s">
        <v>477</v>
      </c>
    </row>
    <row r="21" spans="1:2" ht="12.75">
      <c r="A21" s="537" t="s">
        <v>473</v>
      </c>
      <c r="B21" s="539">
        <f>5+142+75+223+290+391+565+245</f>
        <v>1936</v>
      </c>
    </row>
    <row r="22" spans="1:3" ht="12.75">
      <c r="A22" s="537" t="s">
        <v>472</v>
      </c>
      <c r="B22" s="539">
        <f>825+1200+997+300+126</f>
        <v>3448</v>
      </c>
      <c r="C22" s="539"/>
    </row>
    <row r="23" spans="1:3" ht="12.75">
      <c r="A23" s="537" t="s">
        <v>479</v>
      </c>
      <c r="B23" s="539">
        <f>16+50+23+750+100</f>
        <v>939</v>
      </c>
      <c r="C23" s="539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140625" style="69" customWidth="1"/>
    <col min="5" max="7" width="9.8515625" style="8" customWidth="1"/>
    <col min="8" max="8" width="3.8515625" style="91" customWidth="1"/>
    <col min="9" max="9" width="8.57421875" style="69" bestFit="1" customWidth="1"/>
    <col min="10" max="11" width="9.8515625" style="8" customWidth="1"/>
    <col min="12" max="12" width="8.281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363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33"/>
    </row>
    <row r="5" spans="1:14" ht="39" customHeight="1">
      <c r="A5" s="99" t="s">
        <v>399</v>
      </c>
      <c r="B5" s="110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51" t="s">
        <v>400</v>
      </c>
    </row>
    <row r="6" spans="1:14" s="17" customFormat="1" ht="12">
      <c r="A6" s="11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50"/>
    </row>
    <row r="7" spans="1:14" s="42" customFormat="1" ht="24.75" customHeight="1">
      <c r="A7" s="155" t="s">
        <v>98</v>
      </c>
      <c r="B7" s="299"/>
      <c r="C7" s="64"/>
      <c r="D7" s="243">
        <f>SUM(D8:D11)</f>
        <v>418</v>
      </c>
      <c r="E7" s="243"/>
      <c r="F7" s="243"/>
      <c r="G7" s="243"/>
      <c r="H7" s="153"/>
      <c r="I7" s="243">
        <f>SUM(I8:I11)</f>
        <v>418</v>
      </c>
      <c r="J7" s="243"/>
      <c r="K7" s="243"/>
      <c r="L7" s="243"/>
      <c r="M7" s="156"/>
      <c r="N7" s="201"/>
    </row>
    <row r="8" spans="1:14" s="238" customFormat="1" ht="24.75" customHeight="1">
      <c r="A8" s="155"/>
      <c r="B8" s="241" t="s">
        <v>40</v>
      </c>
      <c r="C8" s="64"/>
      <c r="D8" s="98">
        <v>96</v>
      </c>
      <c r="E8" s="98" t="s">
        <v>155</v>
      </c>
      <c r="F8" s="98" t="s">
        <v>145</v>
      </c>
      <c r="G8" s="259">
        <v>37085</v>
      </c>
      <c r="H8" s="236"/>
      <c r="I8" s="98">
        <v>96</v>
      </c>
      <c r="J8" s="98" t="s">
        <v>155</v>
      </c>
      <c r="K8" s="98" t="s">
        <v>145</v>
      </c>
      <c r="L8" s="259">
        <v>37085</v>
      </c>
      <c r="M8" s="235"/>
      <c r="N8" s="201" t="s">
        <v>156</v>
      </c>
    </row>
    <row r="9" spans="1:14" s="238" customFormat="1" ht="24.75" customHeight="1">
      <c r="A9" s="155"/>
      <c r="B9" s="241" t="s">
        <v>334</v>
      </c>
      <c r="C9" s="64"/>
      <c r="D9" s="98">
        <v>106</v>
      </c>
      <c r="E9" s="98" t="s">
        <v>142</v>
      </c>
      <c r="F9" s="98" t="s">
        <v>145</v>
      </c>
      <c r="G9" s="259">
        <v>37103</v>
      </c>
      <c r="H9" s="236"/>
      <c r="I9" s="98">
        <v>106</v>
      </c>
      <c r="J9" s="98" t="s">
        <v>142</v>
      </c>
      <c r="K9" s="98" t="s">
        <v>145</v>
      </c>
      <c r="L9" s="259">
        <v>37103</v>
      </c>
      <c r="M9" s="235"/>
      <c r="N9" s="201"/>
    </row>
    <row r="10" spans="1:14" s="238" customFormat="1" ht="12">
      <c r="A10" s="155"/>
      <c r="B10" s="241" t="s">
        <v>107</v>
      </c>
      <c r="C10" s="64"/>
      <c r="D10" s="98">
        <v>36</v>
      </c>
      <c r="E10" s="98" t="s">
        <v>142</v>
      </c>
      <c r="F10" s="98" t="s">
        <v>145</v>
      </c>
      <c r="G10" s="259">
        <v>37188</v>
      </c>
      <c r="H10" s="236"/>
      <c r="I10" s="98">
        <v>36</v>
      </c>
      <c r="J10" s="98" t="s">
        <v>142</v>
      </c>
      <c r="K10" s="98" t="s">
        <v>145</v>
      </c>
      <c r="L10" s="259">
        <v>37188</v>
      </c>
      <c r="M10" s="235"/>
      <c r="N10" s="201"/>
    </row>
    <row r="11" spans="1:14" s="238" customFormat="1" ht="24.75" customHeight="1">
      <c r="A11" s="155"/>
      <c r="B11" s="241" t="s">
        <v>106</v>
      </c>
      <c r="C11" s="64"/>
      <c r="D11" s="98">
        <v>180</v>
      </c>
      <c r="E11" s="98" t="s">
        <v>142</v>
      </c>
      <c r="F11" s="98" t="s">
        <v>145</v>
      </c>
      <c r="G11" s="259">
        <v>37104</v>
      </c>
      <c r="H11" s="236"/>
      <c r="I11" s="98">
        <v>180</v>
      </c>
      <c r="J11" s="98" t="s">
        <v>142</v>
      </c>
      <c r="K11" s="98" t="s">
        <v>145</v>
      </c>
      <c r="L11" s="259">
        <v>37104</v>
      </c>
      <c r="M11" s="235"/>
      <c r="N11" s="201"/>
    </row>
    <row r="12" spans="1:14" s="42" customFormat="1" ht="24.75" customHeight="1">
      <c r="A12" s="155" t="s">
        <v>392</v>
      </c>
      <c r="B12" s="299"/>
      <c r="C12" s="64"/>
      <c r="D12" s="243">
        <f>SUM(D13:D15)</f>
        <v>4215</v>
      </c>
      <c r="E12" s="243"/>
      <c r="F12" s="243"/>
      <c r="G12" s="243"/>
      <c r="H12" s="153"/>
      <c r="I12" s="243">
        <f>SUM(I13:I15)</f>
        <v>4215</v>
      </c>
      <c r="J12" s="243"/>
      <c r="K12" s="243"/>
      <c r="L12" s="243"/>
      <c r="M12" s="156"/>
      <c r="N12" s="201"/>
    </row>
    <row r="13" spans="1:14" s="238" customFormat="1" ht="24.75" customHeight="1">
      <c r="A13" s="155"/>
      <c r="B13" s="232" t="s">
        <v>344</v>
      </c>
      <c r="C13" s="64"/>
      <c r="D13" s="98">
        <v>3000</v>
      </c>
      <c r="E13" s="555" t="s">
        <v>140</v>
      </c>
      <c r="F13" s="556"/>
      <c r="G13" s="557"/>
      <c r="H13" s="236"/>
      <c r="I13" s="98">
        <v>3000</v>
      </c>
      <c r="J13" s="98" t="s">
        <v>155</v>
      </c>
      <c r="K13" s="98" t="s">
        <v>239</v>
      </c>
      <c r="L13" s="259">
        <v>37015</v>
      </c>
      <c r="M13" s="235"/>
      <c r="N13" s="201"/>
    </row>
    <row r="14" spans="1:14" s="238" customFormat="1" ht="36">
      <c r="A14" s="155"/>
      <c r="B14" s="300" t="s">
        <v>323</v>
      </c>
      <c r="C14" s="64"/>
      <c r="D14" s="98">
        <v>1200</v>
      </c>
      <c r="E14" s="98" t="s">
        <v>155</v>
      </c>
      <c r="F14" s="98" t="s">
        <v>145</v>
      </c>
      <c r="G14" s="259">
        <v>37007</v>
      </c>
      <c r="H14" s="236"/>
      <c r="I14" s="98">
        <v>1200</v>
      </c>
      <c r="J14" s="98" t="s">
        <v>155</v>
      </c>
      <c r="K14" s="98" t="s">
        <v>145</v>
      </c>
      <c r="L14" s="259">
        <v>37096</v>
      </c>
      <c r="M14" s="235"/>
      <c r="N14" s="201"/>
    </row>
    <row r="15" spans="1:14" s="238" customFormat="1" ht="24">
      <c r="A15" s="155"/>
      <c r="B15" s="300" t="s">
        <v>225</v>
      </c>
      <c r="C15" s="64"/>
      <c r="D15" s="98">
        <v>15</v>
      </c>
      <c r="E15" s="98" t="s">
        <v>142</v>
      </c>
      <c r="F15" s="98" t="s">
        <v>145</v>
      </c>
      <c r="G15" s="259">
        <v>36999</v>
      </c>
      <c r="H15" s="236"/>
      <c r="I15" s="98">
        <v>15</v>
      </c>
      <c r="J15" s="98" t="s">
        <v>142</v>
      </c>
      <c r="K15" s="98" t="s">
        <v>145</v>
      </c>
      <c r="L15" s="259">
        <v>36999</v>
      </c>
      <c r="M15" s="235"/>
      <c r="N15" s="201"/>
    </row>
    <row r="16" spans="1:14" s="42" customFormat="1" ht="24.75" customHeight="1">
      <c r="A16" s="155" t="s">
        <v>373</v>
      </c>
      <c r="B16" s="299"/>
      <c r="C16" s="64"/>
      <c r="D16" s="243">
        <f>SUM(D17:D17)</f>
        <v>300</v>
      </c>
      <c r="E16" s="243"/>
      <c r="F16" s="243"/>
      <c r="G16" s="243"/>
      <c r="H16" s="153"/>
      <c r="I16" s="243">
        <f>SUM(I17:I17)</f>
        <v>300</v>
      </c>
      <c r="J16" s="243"/>
      <c r="K16" s="243"/>
      <c r="L16" s="243"/>
      <c r="M16" s="156"/>
      <c r="N16" s="201"/>
    </row>
    <row r="17" spans="1:14" s="238" customFormat="1" ht="24">
      <c r="A17" s="155"/>
      <c r="B17" s="240" t="s">
        <v>83</v>
      </c>
      <c r="C17" s="64"/>
      <c r="D17" s="98">
        <v>300</v>
      </c>
      <c r="E17" s="98" t="s">
        <v>155</v>
      </c>
      <c r="F17" s="98" t="s">
        <v>145</v>
      </c>
      <c r="G17" s="259">
        <v>37105</v>
      </c>
      <c r="H17" s="236"/>
      <c r="I17" s="98">
        <v>300</v>
      </c>
      <c r="J17" s="98" t="s">
        <v>155</v>
      </c>
      <c r="K17" s="98" t="s">
        <v>145</v>
      </c>
      <c r="L17" s="259">
        <v>37203</v>
      </c>
      <c r="M17" s="235"/>
      <c r="N17" s="201"/>
    </row>
    <row r="18" spans="1:14" s="238" customFormat="1" ht="12">
      <c r="A18" s="155"/>
      <c r="B18" s="240"/>
      <c r="C18" s="64"/>
      <c r="D18" s="98"/>
      <c r="E18" s="98"/>
      <c r="F18" s="98"/>
      <c r="G18" s="259"/>
      <c r="H18" s="236"/>
      <c r="I18" s="98"/>
      <c r="J18" s="98"/>
      <c r="K18" s="98"/>
      <c r="L18" s="259"/>
      <c r="M18" s="235"/>
      <c r="N18" s="201"/>
    </row>
    <row r="19" spans="1:14" s="14" customFormat="1" ht="24.75" customHeight="1">
      <c r="A19" s="301"/>
      <c r="B19" s="302" t="s">
        <v>206</v>
      </c>
      <c r="C19" s="464"/>
      <c r="D19" s="87">
        <f>D7+D12+D16</f>
        <v>4933</v>
      </c>
      <c r="E19" s="87"/>
      <c r="F19" s="87"/>
      <c r="G19" s="87"/>
      <c r="H19" s="303"/>
      <c r="I19" s="87">
        <f>I7+I12+I16</f>
        <v>4933</v>
      </c>
      <c r="J19" s="87"/>
      <c r="K19" s="87"/>
      <c r="L19" s="87"/>
      <c r="M19" s="106"/>
      <c r="N19" s="304"/>
    </row>
    <row r="20" spans="2:14" s="48" customFormat="1" ht="12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2:14" s="48" customFormat="1" ht="12">
      <c r="B21" s="53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</sheetData>
  <mergeCells count="1">
    <mergeCell ref="E13:G13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5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43.8515625" style="53" customWidth="1"/>
    <col min="3" max="3" width="3.8515625" style="68" customWidth="1"/>
    <col min="4" max="4" width="8.57421875" style="69" customWidth="1"/>
    <col min="5" max="7" width="9.8515625" style="8" customWidth="1"/>
    <col min="8" max="8" width="3.8515625" style="91" customWidth="1"/>
    <col min="9" max="9" width="7.421875" style="69" customWidth="1"/>
    <col min="10" max="12" width="9.85156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364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403" t="s">
        <v>132</v>
      </c>
      <c r="E4" s="404"/>
      <c r="F4" s="404"/>
      <c r="G4" s="405"/>
      <c r="H4" s="125"/>
      <c r="I4" s="403" t="s">
        <v>133</v>
      </c>
      <c r="J4" s="404"/>
      <c r="K4" s="404"/>
      <c r="L4" s="405"/>
      <c r="M4" s="125"/>
      <c r="N4" s="133"/>
    </row>
    <row r="5" spans="1:14" s="412" customFormat="1" ht="39" customHeight="1">
      <c r="A5" s="99" t="s">
        <v>399</v>
      </c>
      <c r="B5" s="406"/>
      <c r="C5" s="73"/>
      <c r="D5" s="407" t="s">
        <v>136</v>
      </c>
      <c r="E5" s="408" t="s">
        <v>137</v>
      </c>
      <c r="F5" s="408" t="s">
        <v>138</v>
      </c>
      <c r="G5" s="409" t="s">
        <v>139</v>
      </c>
      <c r="H5" s="410"/>
      <c r="I5" s="407" t="s">
        <v>136</v>
      </c>
      <c r="J5" s="408" t="s">
        <v>137</v>
      </c>
      <c r="K5" s="408" t="s">
        <v>138</v>
      </c>
      <c r="L5" s="409" t="s">
        <v>139</v>
      </c>
      <c r="M5" s="410"/>
      <c r="N5" s="411" t="s">
        <v>400</v>
      </c>
    </row>
    <row r="6" spans="1:14" s="316" customFormat="1" ht="12">
      <c r="A6" s="413"/>
      <c r="B6" s="414"/>
      <c r="C6" s="63"/>
      <c r="D6" s="415"/>
      <c r="E6" s="416"/>
      <c r="F6" s="416"/>
      <c r="G6" s="417"/>
      <c r="H6" s="337"/>
      <c r="I6" s="415"/>
      <c r="J6" s="416"/>
      <c r="K6" s="416"/>
      <c r="L6" s="417"/>
      <c r="M6" s="337"/>
      <c r="N6" s="418"/>
    </row>
    <row r="7" spans="1:14" s="157" customFormat="1" ht="24.75" customHeight="1">
      <c r="A7" s="155" t="s">
        <v>108</v>
      </c>
      <c r="B7" s="341"/>
      <c r="C7" s="64"/>
      <c r="D7" s="243">
        <f>SUM(D8:D8)</f>
        <v>46</v>
      </c>
      <c r="E7" s="243"/>
      <c r="F7" s="243"/>
      <c r="G7" s="243"/>
      <c r="H7" s="153"/>
      <c r="I7" s="243">
        <f>SUM(I8:I8)</f>
        <v>46</v>
      </c>
      <c r="J7" s="243"/>
      <c r="K7" s="243"/>
      <c r="L7" s="243"/>
      <c r="M7" s="153"/>
      <c r="N7" s="201"/>
    </row>
    <row r="8" spans="1:14" s="238" customFormat="1" ht="12">
      <c r="A8" s="155"/>
      <c r="B8" s="240" t="s">
        <v>109</v>
      </c>
      <c r="C8" s="64"/>
      <c r="D8" s="98">
        <v>46</v>
      </c>
      <c r="E8" s="98" t="s">
        <v>155</v>
      </c>
      <c r="F8" s="98" t="s">
        <v>145</v>
      </c>
      <c r="G8" s="259">
        <v>37173</v>
      </c>
      <c r="H8" s="236"/>
      <c r="I8" s="98">
        <v>46</v>
      </c>
      <c r="J8" s="98" t="s">
        <v>155</v>
      </c>
      <c r="K8" s="98" t="s">
        <v>145</v>
      </c>
      <c r="L8" s="259">
        <v>37173</v>
      </c>
      <c r="M8" s="236"/>
      <c r="N8" s="306" t="s">
        <v>201</v>
      </c>
    </row>
    <row r="9" spans="1:14" s="157" customFormat="1" ht="24.75" customHeight="1">
      <c r="A9" s="155" t="s">
        <v>392</v>
      </c>
      <c r="B9" s="341"/>
      <c r="C9" s="64"/>
      <c r="D9" s="243">
        <f>SUM(D10:D12)</f>
        <v>600</v>
      </c>
      <c r="E9" s="243"/>
      <c r="F9" s="243"/>
      <c r="G9" s="243"/>
      <c r="H9" s="153"/>
      <c r="I9" s="243">
        <f>SUM(I10:I12)</f>
        <v>600</v>
      </c>
      <c r="J9" s="243"/>
      <c r="K9" s="243"/>
      <c r="L9" s="243"/>
      <c r="M9" s="153"/>
      <c r="N9" s="201"/>
    </row>
    <row r="10" spans="1:14" s="238" customFormat="1" ht="12">
      <c r="A10" s="155"/>
      <c r="B10" s="240" t="s">
        <v>250</v>
      </c>
      <c r="C10" s="64"/>
      <c r="D10" s="98">
        <v>200</v>
      </c>
      <c r="E10" s="98" t="s">
        <v>155</v>
      </c>
      <c r="F10" s="98" t="s">
        <v>145</v>
      </c>
      <c r="G10" s="259">
        <v>37105</v>
      </c>
      <c r="H10" s="236"/>
      <c r="I10" s="98">
        <v>200</v>
      </c>
      <c r="J10" s="98" t="s">
        <v>155</v>
      </c>
      <c r="K10" s="98" t="s">
        <v>145</v>
      </c>
      <c r="L10" s="259">
        <v>37203</v>
      </c>
      <c r="M10" s="235"/>
      <c r="N10" s="201"/>
    </row>
    <row r="11" spans="1:14" s="238" customFormat="1" ht="12">
      <c r="A11" s="155"/>
      <c r="B11" s="307" t="s">
        <v>251</v>
      </c>
      <c r="C11" s="64"/>
      <c r="D11" s="98">
        <v>200</v>
      </c>
      <c r="E11" s="98" t="s">
        <v>155</v>
      </c>
      <c r="F11" s="98" t="s">
        <v>145</v>
      </c>
      <c r="G11" s="259">
        <v>37105</v>
      </c>
      <c r="H11" s="236"/>
      <c r="I11" s="98">
        <v>200</v>
      </c>
      <c r="J11" s="98" t="s">
        <v>155</v>
      </c>
      <c r="K11" s="98" t="s">
        <v>145</v>
      </c>
      <c r="L11" s="259">
        <v>37203</v>
      </c>
      <c r="M11" s="235"/>
      <c r="N11" s="201"/>
    </row>
    <row r="12" spans="1:14" s="238" customFormat="1" ht="12">
      <c r="A12" s="155"/>
      <c r="B12" s="240" t="s">
        <v>252</v>
      </c>
      <c r="C12" s="64"/>
      <c r="D12" s="98">
        <v>200</v>
      </c>
      <c r="E12" s="98" t="s">
        <v>155</v>
      </c>
      <c r="F12" s="98" t="s">
        <v>145</v>
      </c>
      <c r="G12" s="259">
        <v>37105</v>
      </c>
      <c r="H12" s="236"/>
      <c r="I12" s="98">
        <v>200</v>
      </c>
      <c r="J12" s="98" t="s">
        <v>155</v>
      </c>
      <c r="K12" s="98" t="s">
        <v>145</v>
      </c>
      <c r="L12" s="259">
        <v>37203</v>
      </c>
      <c r="M12" s="235"/>
      <c r="N12" s="201"/>
    </row>
    <row r="13" spans="1:14" s="238" customFormat="1" ht="12">
      <c r="A13" s="155"/>
      <c r="B13" s="444"/>
      <c r="C13" s="64"/>
      <c r="D13" s="571"/>
      <c r="E13" s="572"/>
      <c r="F13" s="572"/>
      <c r="G13" s="572"/>
      <c r="H13" s="572"/>
      <c r="I13" s="572"/>
      <c r="J13" s="572"/>
      <c r="K13" s="572"/>
      <c r="L13" s="573"/>
      <c r="M13" s="236"/>
      <c r="N13" s="306"/>
    </row>
    <row r="14" spans="1:14" s="14" customFormat="1" ht="24.75" customHeight="1">
      <c r="A14" s="289"/>
      <c r="B14" s="287" t="s">
        <v>206</v>
      </c>
      <c r="C14" s="290"/>
      <c r="D14" s="271">
        <f>D7+D9</f>
        <v>646</v>
      </c>
      <c r="E14" s="271"/>
      <c r="F14" s="271"/>
      <c r="G14" s="271"/>
      <c r="H14" s="280"/>
      <c r="I14" s="271">
        <f>I7+I9</f>
        <v>646</v>
      </c>
      <c r="J14" s="271"/>
      <c r="K14" s="271"/>
      <c r="L14" s="87"/>
      <c r="M14" s="90"/>
      <c r="N14" s="84"/>
    </row>
    <row r="15" spans="2:14" s="48" customFormat="1" ht="12">
      <c r="B15" s="53"/>
      <c r="C15" s="78"/>
      <c r="D15" s="70"/>
      <c r="E15" s="45"/>
      <c r="F15" s="45"/>
      <c r="G15" s="45"/>
      <c r="H15" s="44"/>
      <c r="I15" s="70"/>
      <c r="J15" s="45"/>
      <c r="K15" s="45"/>
      <c r="L15" s="45"/>
      <c r="M15" s="44"/>
      <c r="N15" s="46"/>
    </row>
    <row r="16" spans="2:14" s="48" customFormat="1" ht="12.75">
      <c r="B16" s="216"/>
      <c r="C16" s="78"/>
      <c r="D16" s="70"/>
      <c r="E16" s="45"/>
      <c r="F16" s="45"/>
      <c r="G16" s="45"/>
      <c r="H16" s="44"/>
      <c r="I16" s="70"/>
      <c r="J16" s="45"/>
      <c r="K16" s="45"/>
      <c r="L16" s="45"/>
      <c r="M16" s="44"/>
      <c r="N16" s="46"/>
    </row>
    <row r="17" spans="2:14" s="48" customFormat="1" ht="15">
      <c r="B17" s="202"/>
      <c r="C17" s="78"/>
      <c r="D17" s="70"/>
      <c r="E17" s="45"/>
      <c r="F17" s="45"/>
      <c r="G17" s="45"/>
      <c r="H17" s="44"/>
      <c r="I17" s="70"/>
      <c r="J17" s="45"/>
      <c r="K17" s="45"/>
      <c r="L17" s="45"/>
      <c r="M17" s="44"/>
      <c r="N17" s="46"/>
    </row>
    <row r="19" ht="15">
      <c r="B19" s="202"/>
    </row>
  </sheetData>
  <mergeCells count="1">
    <mergeCell ref="D13:L13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6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41.57421875" style="53" customWidth="1"/>
    <col min="3" max="3" width="3.8515625" style="68" customWidth="1"/>
    <col min="4" max="4" width="8.57421875" style="69" customWidth="1"/>
    <col min="5" max="7" width="9.8515625" style="8" customWidth="1"/>
    <col min="8" max="8" width="3.8515625" style="91" customWidth="1"/>
    <col min="9" max="9" width="7.8515625" style="69" customWidth="1"/>
    <col min="10" max="12" width="9.8515625" style="8" customWidth="1"/>
    <col min="13" max="13" width="3.8515625" style="91" customWidth="1"/>
    <col min="14" max="14" width="30.71093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239"/>
      <c r="J1" s="12"/>
      <c r="K1" s="12"/>
      <c r="L1" s="35"/>
      <c r="M1" s="101"/>
      <c r="N1" s="102"/>
    </row>
    <row r="2" spans="1:14" s="1" customFormat="1" ht="19.5">
      <c r="A2" s="262" t="s">
        <v>365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30"/>
      <c r="H3" s="30"/>
      <c r="I3" s="68"/>
      <c r="J3" s="7"/>
      <c r="K3" s="7"/>
      <c r="L3" s="30"/>
      <c r="M3" s="30"/>
      <c r="N3" s="32" t="s">
        <v>450</v>
      </c>
    </row>
    <row r="4" spans="1:14" s="127" customFormat="1" ht="15.75">
      <c r="A4" s="121"/>
      <c r="B4" s="122"/>
      <c r="C4" s="124"/>
      <c r="D4" s="403" t="s">
        <v>132</v>
      </c>
      <c r="E4" s="404"/>
      <c r="F4" s="404"/>
      <c r="G4" s="405"/>
      <c r="H4" s="125"/>
      <c r="I4" s="403" t="s">
        <v>133</v>
      </c>
      <c r="J4" s="404"/>
      <c r="K4" s="404"/>
      <c r="L4" s="405"/>
      <c r="M4" s="125"/>
      <c r="N4" s="133"/>
    </row>
    <row r="5" spans="1:14" s="412" customFormat="1" ht="39" customHeight="1">
      <c r="A5" s="99" t="s">
        <v>399</v>
      </c>
      <c r="B5" s="406"/>
      <c r="C5" s="73"/>
      <c r="D5" s="407" t="s">
        <v>136</v>
      </c>
      <c r="E5" s="408" t="s">
        <v>137</v>
      </c>
      <c r="F5" s="408" t="s">
        <v>138</v>
      </c>
      <c r="G5" s="409" t="s">
        <v>139</v>
      </c>
      <c r="H5" s="410"/>
      <c r="I5" s="407" t="s">
        <v>136</v>
      </c>
      <c r="J5" s="408" t="s">
        <v>137</v>
      </c>
      <c r="K5" s="408" t="s">
        <v>138</v>
      </c>
      <c r="L5" s="409" t="s">
        <v>139</v>
      </c>
      <c r="M5" s="410"/>
      <c r="N5" s="411" t="s">
        <v>400</v>
      </c>
    </row>
    <row r="6" spans="1:14" s="316" customFormat="1" ht="12">
      <c r="A6" s="413"/>
      <c r="B6" s="414"/>
      <c r="C6" s="63"/>
      <c r="D6" s="415"/>
      <c r="E6" s="416"/>
      <c r="F6" s="416"/>
      <c r="G6" s="417"/>
      <c r="H6" s="337"/>
      <c r="I6" s="415"/>
      <c r="J6" s="416"/>
      <c r="K6" s="416"/>
      <c r="L6" s="417"/>
      <c r="M6" s="337"/>
      <c r="N6" s="418"/>
    </row>
    <row r="7" spans="1:14" s="316" customFormat="1" ht="26.25" customHeight="1">
      <c r="A7" s="155" t="s">
        <v>391</v>
      </c>
      <c r="B7" s="336"/>
      <c r="C7" s="63"/>
      <c r="D7" s="243">
        <f>SUM(D8:D8)</f>
        <v>350</v>
      </c>
      <c r="E7" s="243"/>
      <c r="F7" s="243"/>
      <c r="G7" s="243"/>
      <c r="H7" s="322"/>
      <c r="I7" s="243">
        <f>SUM(I8:I8)</f>
        <v>350</v>
      </c>
      <c r="J7" s="243"/>
      <c r="K7" s="243"/>
      <c r="L7" s="243"/>
      <c r="M7" s="337"/>
      <c r="N7" s="324"/>
    </row>
    <row r="8" spans="1:14" s="316" customFormat="1" ht="24">
      <c r="A8" s="338"/>
      <c r="B8" s="300" t="s">
        <v>42</v>
      </c>
      <c r="C8" s="63"/>
      <c r="D8" s="98">
        <v>350</v>
      </c>
      <c r="E8" s="98" t="s">
        <v>155</v>
      </c>
      <c r="F8" s="98" t="s">
        <v>145</v>
      </c>
      <c r="G8" s="259">
        <v>37167</v>
      </c>
      <c r="H8" s="322"/>
      <c r="I8" s="98">
        <v>350</v>
      </c>
      <c r="J8" s="98" t="s">
        <v>155</v>
      </c>
      <c r="K8" s="98" t="s">
        <v>335</v>
      </c>
      <c r="L8" s="259">
        <v>37235</v>
      </c>
      <c r="M8" s="337"/>
      <c r="N8" s="324"/>
    </row>
    <row r="9" spans="1:14" s="315" customFormat="1" ht="24.75" customHeight="1">
      <c r="A9" s="155" t="s">
        <v>392</v>
      </c>
      <c r="B9" s="339"/>
      <c r="C9" s="64"/>
      <c r="D9" s="243">
        <f>SUM(D10:D10)</f>
        <v>500</v>
      </c>
      <c r="E9" s="243"/>
      <c r="F9" s="243"/>
      <c r="G9" s="243"/>
      <c r="H9" s="153"/>
      <c r="I9" s="243">
        <f>SUM(I10:I10)</f>
        <v>500</v>
      </c>
      <c r="J9" s="243"/>
      <c r="K9" s="243"/>
      <c r="L9" s="243"/>
      <c r="M9" s="156"/>
      <c r="N9" s="306"/>
    </row>
    <row r="10" spans="1:14" s="238" customFormat="1" ht="24">
      <c r="A10" s="155"/>
      <c r="B10" s="230" t="s">
        <v>82</v>
      </c>
      <c r="C10" s="64"/>
      <c r="D10" s="98">
        <v>500</v>
      </c>
      <c r="E10" s="98" t="s">
        <v>155</v>
      </c>
      <c r="F10" s="98" t="s">
        <v>145</v>
      </c>
      <c r="G10" s="259">
        <v>37154</v>
      </c>
      <c r="H10" s="236"/>
      <c r="I10" s="98">
        <v>500</v>
      </c>
      <c r="J10" s="98" t="s">
        <v>155</v>
      </c>
      <c r="K10" s="98" t="s">
        <v>335</v>
      </c>
      <c r="L10" s="259">
        <v>37235</v>
      </c>
      <c r="M10" s="235"/>
      <c r="N10" s="306"/>
    </row>
    <row r="11" spans="1:14" s="238" customFormat="1" ht="24.75" customHeight="1">
      <c r="A11" s="155" t="s">
        <v>393</v>
      </c>
      <c r="B11" s="230"/>
      <c r="C11" s="64"/>
      <c r="D11" s="243">
        <f>SUM(D12:D13)</f>
        <v>55</v>
      </c>
      <c r="E11" s="98"/>
      <c r="F11" s="98"/>
      <c r="G11" s="98"/>
      <c r="H11" s="236"/>
      <c r="I11" s="243">
        <f>SUM(I12:I13)</f>
        <v>55</v>
      </c>
      <c r="J11" s="98"/>
      <c r="K11" s="98"/>
      <c r="L11" s="98"/>
      <c r="M11" s="235"/>
      <c r="N11" s="306"/>
    </row>
    <row r="12" spans="1:14" s="238" customFormat="1" ht="12">
      <c r="A12" s="155"/>
      <c r="B12" s="234" t="s">
        <v>315</v>
      </c>
      <c r="C12" s="64"/>
      <c r="D12" s="98">
        <v>17</v>
      </c>
      <c r="E12" s="98" t="s">
        <v>155</v>
      </c>
      <c r="F12" s="98" t="s">
        <v>145</v>
      </c>
      <c r="G12" s="259">
        <v>37029</v>
      </c>
      <c r="H12" s="236"/>
      <c r="I12" s="98">
        <v>17</v>
      </c>
      <c r="J12" s="98" t="s">
        <v>155</v>
      </c>
      <c r="K12" s="98" t="s">
        <v>145</v>
      </c>
      <c r="L12" s="259">
        <v>37029</v>
      </c>
      <c r="M12" s="235"/>
      <c r="N12" s="306" t="s">
        <v>201</v>
      </c>
    </row>
    <row r="13" spans="1:14" s="238" customFormat="1" ht="24">
      <c r="A13" s="155"/>
      <c r="B13" s="234" t="s">
        <v>110</v>
      </c>
      <c r="C13" s="64"/>
      <c r="D13" s="98">
        <v>38</v>
      </c>
      <c r="E13" s="98" t="s">
        <v>155</v>
      </c>
      <c r="F13" s="98" t="s">
        <v>145</v>
      </c>
      <c r="G13" s="259">
        <v>37182</v>
      </c>
      <c r="H13" s="236"/>
      <c r="I13" s="98">
        <v>38</v>
      </c>
      <c r="J13" s="98" t="s">
        <v>155</v>
      </c>
      <c r="K13" s="98" t="s">
        <v>145</v>
      </c>
      <c r="L13" s="259">
        <v>37182</v>
      </c>
      <c r="M13" s="235"/>
      <c r="N13" s="306" t="s">
        <v>201</v>
      </c>
    </row>
    <row r="14" spans="1:14" s="238" customFormat="1" ht="21" customHeight="1">
      <c r="A14" s="155" t="s">
        <v>394</v>
      </c>
      <c r="B14" s="260"/>
      <c r="C14" s="64"/>
      <c r="D14" s="243">
        <f>+D15</f>
        <v>41</v>
      </c>
      <c r="E14" s="98"/>
      <c r="F14" s="98"/>
      <c r="G14" s="98"/>
      <c r="H14" s="236"/>
      <c r="I14" s="243">
        <f>+I15</f>
        <v>41</v>
      </c>
      <c r="J14" s="98"/>
      <c r="K14" s="98"/>
      <c r="L14" s="98"/>
      <c r="M14" s="235"/>
      <c r="N14" s="340"/>
    </row>
    <row r="15" spans="1:14" s="238" customFormat="1" ht="24">
      <c r="A15" s="155"/>
      <c r="B15" s="260" t="s">
        <v>236</v>
      </c>
      <c r="C15" s="64"/>
      <c r="D15" s="98">
        <v>41</v>
      </c>
      <c r="E15" s="98" t="s">
        <v>155</v>
      </c>
      <c r="F15" s="98" t="s">
        <v>145</v>
      </c>
      <c r="G15" s="259">
        <v>36987</v>
      </c>
      <c r="H15" s="236"/>
      <c r="I15" s="98">
        <v>41</v>
      </c>
      <c r="J15" s="98" t="s">
        <v>155</v>
      </c>
      <c r="K15" s="98" t="s">
        <v>145</v>
      </c>
      <c r="L15" s="259">
        <v>36987</v>
      </c>
      <c r="M15" s="235"/>
      <c r="N15" s="306" t="s">
        <v>174</v>
      </c>
    </row>
    <row r="16" spans="1:14" s="157" customFormat="1" ht="24.75" customHeight="1">
      <c r="A16" s="155" t="s">
        <v>374</v>
      </c>
      <c r="B16" s="341"/>
      <c r="C16" s="64"/>
      <c r="D16" s="243">
        <f>SUM(D17:D17)</f>
        <v>350</v>
      </c>
      <c r="E16" s="243"/>
      <c r="F16" s="243"/>
      <c r="G16" s="243"/>
      <c r="H16" s="153"/>
      <c r="I16" s="243">
        <f>SUM(I17:I17)</f>
        <v>350</v>
      </c>
      <c r="J16" s="243"/>
      <c r="K16" s="243"/>
      <c r="L16" s="243"/>
      <c r="M16" s="156"/>
      <c r="N16" s="329"/>
    </row>
    <row r="17" spans="1:14" s="237" customFormat="1" ht="24">
      <c r="A17" s="155"/>
      <c r="B17" s="342" t="s">
        <v>96</v>
      </c>
      <c r="C17" s="64"/>
      <c r="D17" s="98">
        <v>350</v>
      </c>
      <c r="E17" s="98" t="s">
        <v>155</v>
      </c>
      <c r="F17" s="98" t="s">
        <v>145</v>
      </c>
      <c r="G17" s="259">
        <v>37160</v>
      </c>
      <c r="H17" s="236"/>
      <c r="I17" s="98">
        <v>350</v>
      </c>
      <c r="J17" s="98" t="s">
        <v>155</v>
      </c>
      <c r="K17" s="98" t="s">
        <v>335</v>
      </c>
      <c r="L17" s="259">
        <v>37235</v>
      </c>
      <c r="M17" s="235"/>
      <c r="N17" s="329"/>
    </row>
    <row r="18" spans="1:14" s="237" customFormat="1" ht="12">
      <c r="A18" s="155"/>
      <c r="B18" s="342"/>
      <c r="C18" s="574"/>
      <c r="D18" s="98"/>
      <c r="E18" s="98"/>
      <c r="F18" s="98"/>
      <c r="G18" s="259"/>
      <c r="H18" s="236"/>
      <c r="I18" s="98"/>
      <c r="J18" s="98"/>
      <c r="K18" s="98"/>
      <c r="L18" s="259"/>
      <c r="M18" s="235"/>
      <c r="N18" s="329"/>
    </row>
    <row r="19" spans="1:14" s="14" customFormat="1" ht="24" customHeight="1">
      <c r="A19" s="291"/>
      <c r="B19" s="462" t="s">
        <v>206</v>
      </c>
      <c r="C19" s="574"/>
      <c r="D19" s="271">
        <f>+D9+D16+D7+D14+D11</f>
        <v>1296</v>
      </c>
      <c r="E19" s="271"/>
      <c r="F19" s="271"/>
      <c r="G19" s="271"/>
      <c r="H19" s="280"/>
      <c r="I19" s="271">
        <f>+I9+I16+I7+I14+I11</f>
        <v>1296</v>
      </c>
      <c r="J19" s="271"/>
      <c r="K19" s="271"/>
      <c r="L19" s="271"/>
      <c r="M19" s="92"/>
      <c r="N19" s="158"/>
    </row>
    <row r="20" spans="2:14" s="48" customFormat="1" ht="20.25" customHeight="1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</sheetData>
  <mergeCells count="1">
    <mergeCell ref="C18:C19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7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135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17" customWidth="1"/>
    <col min="2" max="2" width="39.28125" style="53" customWidth="1"/>
    <col min="3" max="3" width="3.8515625" style="68" customWidth="1"/>
    <col min="4" max="4" width="8.7109375" style="69" customWidth="1"/>
    <col min="5" max="7" width="9.8515625" style="8" customWidth="1"/>
    <col min="8" max="8" width="3.8515625" style="91" customWidth="1"/>
    <col min="9" max="9" width="8.140625" style="69" customWidth="1"/>
    <col min="10" max="12" width="9.851562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78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4" s="127" customFormat="1" ht="15.75">
      <c r="A4" s="121"/>
      <c r="B4" s="122"/>
      <c r="C4" s="124"/>
      <c r="D4" s="403" t="s">
        <v>132</v>
      </c>
      <c r="E4" s="404"/>
      <c r="F4" s="404"/>
      <c r="G4" s="405"/>
      <c r="H4" s="125"/>
      <c r="I4" s="403" t="s">
        <v>133</v>
      </c>
      <c r="J4" s="404"/>
      <c r="K4" s="404"/>
      <c r="L4" s="405"/>
      <c r="M4" s="125"/>
      <c r="N4" s="133"/>
    </row>
    <row r="5" spans="1:14" s="412" customFormat="1" ht="39" customHeight="1">
      <c r="A5" s="99" t="s">
        <v>399</v>
      </c>
      <c r="B5" s="406"/>
      <c r="C5" s="73"/>
      <c r="D5" s="407" t="s">
        <v>136</v>
      </c>
      <c r="E5" s="408" t="s">
        <v>137</v>
      </c>
      <c r="F5" s="408" t="s">
        <v>138</v>
      </c>
      <c r="G5" s="409" t="s">
        <v>139</v>
      </c>
      <c r="H5" s="410"/>
      <c r="I5" s="407" t="s">
        <v>136</v>
      </c>
      <c r="J5" s="408" t="s">
        <v>137</v>
      </c>
      <c r="K5" s="408" t="s">
        <v>138</v>
      </c>
      <c r="L5" s="409" t="s">
        <v>139</v>
      </c>
      <c r="M5" s="410"/>
      <c r="N5" s="411" t="s">
        <v>400</v>
      </c>
    </row>
    <row r="6" spans="1:14" s="316" customFormat="1" ht="12">
      <c r="A6" s="413"/>
      <c r="B6" s="414"/>
      <c r="C6" s="63"/>
      <c r="D6" s="415"/>
      <c r="E6" s="416"/>
      <c r="F6" s="416"/>
      <c r="G6" s="417"/>
      <c r="H6" s="337"/>
      <c r="I6" s="415"/>
      <c r="J6" s="416"/>
      <c r="K6" s="416"/>
      <c r="L6" s="417"/>
      <c r="M6" s="337"/>
      <c r="N6" s="418"/>
    </row>
    <row r="7" spans="1:14" s="237" customFormat="1" ht="37.5" customHeight="1">
      <c r="A7" s="575" t="s">
        <v>79</v>
      </c>
      <c r="B7" s="576"/>
      <c r="C7" s="64"/>
      <c r="D7" s="243">
        <f>SUM(D8:D11)</f>
        <v>208</v>
      </c>
      <c r="E7" s="243"/>
      <c r="F7" s="243"/>
      <c r="G7" s="243"/>
      <c r="H7" s="236"/>
      <c r="I7" s="243">
        <f>SUM(I8:I11)</f>
        <v>208</v>
      </c>
      <c r="J7" s="243"/>
      <c r="K7" s="243"/>
      <c r="L7" s="243"/>
      <c r="M7" s="235"/>
      <c r="N7" s="329"/>
    </row>
    <row r="8" spans="1:14" s="238" customFormat="1" ht="24">
      <c r="A8" s="155"/>
      <c r="B8" s="307" t="s">
        <v>160</v>
      </c>
      <c r="C8" s="64"/>
      <c r="D8" s="98">
        <v>18</v>
      </c>
      <c r="E8" s="98" t="s">
        <v>147</v>
      </c>
      <c r="F8" s="98" t="s">
        <v>145</v>
      </c>
      <c r="G8" s="259">
        <v>36930</v>
      </c>
      <c r="H8" s="236"/>
      <c r="I8" s="98">
        <v>18</v>
      </c>
      <c r="J8" s="98" t="s">
        <v>147</v>
      </c>
      <c r="K8" s="98" t="s">
        <v>145</v>
      </c>
      <c r="L8" s="259">
        <v>36930</v>
      </c>
      <c r="M8" s="235"/>
      <c r="N8" s="306"/>
    </row>
    <row r="9" spans="1:14" s="238" customFormat="1" ht="36">
      <c r="A9" s="155"/>
      <c r="B9" s="307" t="s">
        <v>230</v>
      </c>
      <c r="C9" s="64"/>
      <c r="D9" s="98">
        <v>121</v>
      </c>
      <c r="E9" s="98" t="s">
        <v>155</v>
      </c>
      <c r="F9" s="98" t="s">
        <v>145</v>
      </c>
      <c r="G9" s="259">
        <v>36998</v>
      </c>
      <c r="H9" s="236"/>
      <c r="I9" s="98">
        <v>121</v>
      </c>
      <c r="J9" s="98" t="s">
        <v>155</v>
      </c>
      <c r="K9" s="98" t="s">
        <v>145</v>
      </c>
      <c r="L9" s="259">
        <v>36998</v>
      </c>
      <c r="M9" s="235"/>
      <c r="N9" s="306" t="s">
        <v>159</v>
      </c>
    </row>
    <row r="10" spans="1:14" s="238" customFormat="1" ht="36">
      <c r="A10" s="155"/>
      <c r="B10" s="307" t="s">
        <v>309</v>
      </c>
      <c r="C10" s="64"/>
      <c r="D10" s="98">
        <v>23</v>
      </c>
      <c r="E10" s="98" t="s">
        <v>155</v>
      </c>
      <c r="F10" s="98" t="s">
        <v>145</v>
      </c>
      <c r="G10" s="259">
        <v>37116</v>
      </c>
      <c r="H10" s="236"/>
      <c r="I10" s="98">
        <v>23</v>
      </c>
      <c r="J10" s="98" t="s">
        <v>155</v>
      </c>
      <c r="K10" s="98" t="s">
        <v>145</v>
      </c>
      <c r="L10" s="259">
        <v>37116</v>
      </c>
      <c r="M10" s="235"/>
      <c r="N10" s="306" t="s">
        <v>316</v>
      </c>
    </row>
    <row r="11" spans="1:14" s="238" customFormat="1" ht="24">
      <c r="A11" s="155"/>
      <c r="B11" s="307" t="s">
        <v>247</v>
      </c>
      <c r="C11" s="64"/>
      <c r="D11" s="98">
        <v>46</v>
      </c>
      <c r="E11" s="98" t="s">
        <v>147</v>
      </c>
      <c r="F11" s="98" t="s">
        <v>145</v>
      </c>
      <c r="G11" s="259">
        <v>37158</v>
      </c>
      <c r="H11" s="236"/>
      <c r="I11" s="98">
        <v>46</v>
      </c>
      <c r="J11" s="98" t="s">
        <v>147</v>
      </c>
      <c r="K11" s="98" t="s">
        <v>145</v>
      </c>
      <c r="L11" s="259">
        <v>37158</v>
      </c>
      <c r="M11" s="235"/>
      <c r="N11" s="306"/>
    </row>
    <row r="12" spans="1:14" s="238" customFormat="1" ht="12">
      <c r="A12" s="155"/>
      <c r="B12" s="307"/>
      <c r="C12" s="64"/>
      <c r="D12" s="98"/>
      <c r="E12" s="98"/>
      <c r="F12" s="98"/>
      <c r="G12" s="259"/>
      <c r="H12" s="236"/>
      <c r="I12" s="98"/>
      <c r="J12" s="98"/>
      <c r="K12" s="98"/>
      <c r="L12" s="259"/>
      <c r="M12" s="235"/>
      <c r="N12" s="306"/>
    </row>
    <row r="13" spans="1:14" s="14" customFormat="1" ht="24" customHeight="1">
      <c r="A13" s="286"/>
      <c r="B13" s="287" t="s">
        <v>206</v>
      </c>
      <c r="C13" s="463"/>
      <c r="D13" s="271">
        <f>D7</f>
        <v>208</v>
      </c>
      <c r="E13" s="271"/>
      <c r="F13" s="271"/>
      <c r="G13" s="271"/>
      <c r="H13" s="280"/>
      <c r="I13" s="271">
        <f>I7</f>
        <v>208</v>
      </c>
      <c r="J13" s="271"/>
      <c r="K13" s="271"/>
      <c r="L13" s="271"/>
      <c r="M13" s="92"/>
      <c r="N13" s="158"/>
    </row>
    <row r="14" spans="2:14" s="48" customFormat="1" ht="12">
      <c r="B14" s="55"/>
      <c r="C14" s="78"/>
      <c r="D14" s="70"/>
      <c r="E14" s="45"/>
      <c r="F14" s="45"/>
      <c r="G14" s="45"/>
      <c r="H14" s="44"/>
      <c r="I14" s="70"/>
      <c r="J14" s="45"/>
      <c r="K14" s="45"/>
      <c r="L14" s="45"/>
      <c r="M14" s="44"/>
      <c r="N14" s="46"/>
    </row>
    <row r="15" spans="2:14" s="48" customFormat="1" ht="12">
      <c r="B15" s="53"/>
      <c r="C15" s="78"/>
      <c r="D15" s="70"/>
      <c r="E15" s="45"/>
      <c r="F15" s="45"/>
      <c r="G15" s="45"/>
      <c r="H15" s="44"/>
      <c r="I15" s="70"/>
      <c r="J15" s="45"/>
      <c r="K15" s="45"/>
      <c r="L15" s="45"/>
      <c r="M15" s="44"/>
      <c r="N15" s="46"/>
    </row>
    <row r="16" spans="2:14" s="48" customFormat="1" ht="12">
      <c r="B16" s="53"/>
      <c r="C16" s="78"/>
      <c r="D16" s="70"/>
      <c r="E16" s="45"/>
      <c r="F16" s="45"/>
      <c r="G16" s="45"/>
      <c r="H16" s="44"/>
      <c r="I16" s="70"/>
      <c r="J16" s="45"/>
      <c r="K16" s="45"/>
      <c r="L16" s="45"/>
      <c r="M16" s="44"/>
      <c r="N16" s="46"/>
    </row>
    <row r="17" spans="2:14" s="48" customFormat="1" ht="12">
      <c r="B17" s="53"/>
      <c r="C17" s="78"/>
      <c r="D17" s="426"/>
      <c r="E17" s="45"/>
      <c r="F17" s="45"/>
      <c r="G17" s="45"/>
      <c r="H17" s="44"/>
      <c r="I17" s="70"/>
      <c r="J17" s="45"/>
      <c r="K17" s="45"/>
      <c r="L17" s="45"/>
      <c r="M17" s="44"/>
      <c r="N17" s="46"/>
    </row>
    <row r="18" spans="2:14" s="48" customFormat="1" ht="12">
      <c r="B18" s="53"/>
      <c r="C18" s="78"/>
      <c r="D18" s="70"/>
      <c r="E18" s="45"/>
      <c r="F18" s="45"/>
      <c r="G18" s="45"/>
      <c r="H18" s="44"/>
      <c r="I18" s="70"/>
      <c r="J18" s="45"/>
      <c r="K18" s="45"/>
      <c r="L18" s="45"/>
      <c r="M18" s="44"/>
      <c r="N18" s="46"/>
    </row>
    <row r="19" spans="2:14" s="48" customFormat="1" ht="12">
      <c r="B19" s="53"/>
      <c r="C19" s="78"/>
      <c r="D19" s="70"/>
      <c r="E19" s="45"/>
      <c r="F19" s="45"/>
      <c r="G19" s="45"/>
      <c r="H19" s="44"/>
      <c r="I19" s="70"/>
      <c r="J19" s="45"/>
      <c r="K19" s="45"/>
      <c r="L19" s="45"/>
      <c r="M19" s="44"/>
      <c r="N19" s="46"/>
    </row>
    <row r="20" spans="2:14" s="48" customFormat="1" ht="12">
      <c r="B20" s="53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2:14" s="48" customFormat="1" ht="12">
      <c r="B21" s="53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  <row r="22" spans="2:14" s="48" customFormat="1" ht="12">
      <c r="B22" s="53"/>
      <c r="C22" s="78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2:14" s="48" customFormat="1" ht="12">
      <c r="B23" s="53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2:14" s="48" customFormat="1" ht="12">
      <c r="B24" s="53"/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  <row r="25" spans="2:14" s="48" customFormat="1" ht="12">
      <c r="B25" s="53"/>
      <c r="C25" s="78"/>
      <c r="D25" s="70"/>
      <c r="E25" s="45"/>
      <c r="F25" s="45"/>
      <c r="G25" s="45"/>
      <c r="H25" s="44"/>
      <c r="I25" s="70"/>
      <c r="J25" s="45"/>
      <c r="K25" s="45"/>
      <c r="L25" s="45"/>
      <c r="M25" s="44"/>
      <c r="N25" s="46"/>
    </row>
    <row r="26" spans="2:14" s="48" customFormat="1" ht="12">
      <c r="B26" s="53"/>
      <c r="C26" s="78"/>
      <c r="D26" s="70"/>
      <c r="E26" s="45"/>
      <c r="F26" s="45"/>
      <c r="G26" s="45"/>
      <c r="H26" s="44"/>
      <c r="I26" s="70"/>
      <c r="J26" s="45"/>
      <c r="K26" s="45"/>
      <c r="L26" s="45"/>
      <c r="M26" s="44"/>
      <c r="N26" s="46"/>
    </row>
    <row r="27" spans="2:14" s="48" customFormat="1" ht="12">
      <c r="B27" s="53"/>
      <c r="C27" s="78"/>
      <c r="D27" s="70"/>
      <c r="E27" s="45"/>
      <c r="F27" s="45"/>
      <c r="G27" s="45"/>
      <c r="H27" s="44"/>
      <c r="I27" s="70"/>
      <c r="J27" s="45"/>
      <c r="K27" s="45"/>
      <c r="L27" s="45"/>
      <c r="M27" s="44"/>
      <c r="N27" s="46"/>
    </row>
    <row r="28" spans="2:14" s="48" customFormat="1" ht="12">
      <c r="B28" s="53"/>
      <c r="C28" s="78"/>
      <c r="D28" s="70"/>
      <c r="E28" s="45"/>
      <c r="F28" s="45"/>
      <c r="G28" s="45"/>
      <c r="H28" s="44"/>
      <c r="I28" s="70"/>
      <c r="J28" s="45"/>
      <c r="K28" s="45"/>
      <c r="L28" s="45"/>
      <c r="M28" s="44"/>
      <c r="N28" s="46"/>
    </row>
    <row r="29" spans="2:14" s="48" customFormat="1" ht="12">
      <c r="B29" s="53"/>
      <c r="C29" s="78"/>
      <c r="D29" s="70"/>
      <c r="E29" s="45"/>
      <c r="F29" s="45"/>
      <c r="G29" s="45"/>
      <c r="H29" s="44"/>
      <c r="I29" s="70"/>
      <c r="J29" s="45"/>
      <c r="K29" s="45"/>
      <c r="L29" s="45"/>
      <c r="M29" s="44"/>
      <c r="N29" s="46"/>
    </row>
    <row r="30" spans="2:14" s="48" customFormat="1" ht="12">
      <c r="B30" s="53"/>
      <c r="C30" s="78"/>
      <c r="D30" s="70"/>
      <c r="E30" s="45"/>
      <c r="F30" s="45"/>
      <c r="G30" s="45"/>
      <c r="H30" s="44"/>
      <c r="I30" s="70"/>
      <c r="J30" s="45"/>
      <c r="K30" s="45"/>
      <c r="L30" s="45"/>
      <c r="M30" s="44"/>
      <c r="N30" s="46"/>
    </row>
    <row r="31" spans="2:14" s="48" customFormat="1" ht="12">
      <c r="B31" s="53"/>
      <c r="C31" s="78"/>
      <c r="D31" s="70"/>
      <c r="E31" s="45"/>
      <c r="F31" s="45"/>
      <c r="G31" s="45"/>
      <c r="H31" s="44"/>
      <c r="I31" s="70"/>
      <c r="J31" s="45"/>
      <c r="K31" s="45"/>
      <c r="L31" s="45"/>
      <c r="M31" s="44"/>
      <c r="N31" s="46"/>
    </row>
    <row r="32" spans="2:14" s="48" customFormat="1" ht="12">
      <c r="B32" s="53"/>
      <c r="C32" s="78"/>
      <c r="D32" s="70"/>
      <c r="E32" s="45"/>
      <c r="F32" s="45"/>
      <c r="G32" s="45"/>
      <c r="H32" s="44"/>
      <c r="I32" s="70"/>
      <c r="J32" s="45"/>
      <c r="K32" s="45"/>
      <c r="L32" s="45"/>
      <c r="M32" s="44"/>
      <c r="N32" s="46"/>
    </row>
    <row r="33" spans="2:14" s="48" customFormat="1" ht="12">
      <c r="B33" s="53"/>
      <c r="C33" s="78"/>
      <c r="D33" s="70"/>
      <c r="E33" s="45"/>
      <c r="F33" s="45"/>
      <c r="G33" s="45"/>
      <c r="H33" s="44"/>
      <c r="I33" s="70"/>
      <c r="J33" s="45"/>
      <c r="K33" s="45"/>
      <c r="L33" s="45"/>
      <c r="M33" s="44"/>
      <c r="N33" s="46"/>
    </row>
    <row r="34" spans="2:14" s="48" customFormat="1" ht="12">
      <c r="B34" s="53"/>
      <c r="C34" s="78"/>
      <c r="D34" s="70"/>
      <c r="E34" s="45"/>
      <c r="F34" s="45"/>
      <c r="G34" s="45"/>
      <c r="H34" s="44"/>
      <c r="I34" s="70"/>
      <c r="J34" s="45"/>
      <c r="K34" s="45"/>
      <c r="L34" s="45"/>
      <c r="M34" s="44"/>
      <c r="N34" s="46"/>
    </row>
    <row r="35" spans="2:14" s="48" customFormat="1" ht="12">
      <c r="B35" s="53"/>
      <c r="C35" s="78"/>
      <c r="D35" s="70"/>
      <c r="E35" s="45"/>
      <c r="F35" s="45"/>
      <c r="G35" s="45"/>
      <c r="H35" s="44"/>
      <c r="I35" s="70"/>
      <c r="J35" s="45"/>
      <c r="K35" s="45"/>
      <c r="L35" s="45"/>
      <c r="M35" s="44"/>
      <c r="N35" s="46"/>
    </row>
    <row r="36" spans="2:14" s="48" customFormat="1" ht="12">
      <c r="B36" s="53"/>
      <c r="C36" s="78"/>
      <c r="D36" s="70"/>
      <c r="E36" s="45"/>
      <c r="F36" s="45"/>
      <c r="G36" s="45"/>
      <c r="H36" s="44"/>
      <c r="I36" s="70"/>
      <c r="J36" s="45"/>
      <c r="K36" s="45"/>
      <c r="L36" s="45"/>
      <c r="M36" s="44"/>
      <c r="N36" s="46"/>
    </row>
    <row r="37" spans="2:14" s="48" customFormat="1" ht="12">
      <c r="B37" s="53"/>
      <c r="C37" s="78"/>
      <c r="D37" s="70"/>
      <c r="E37" s="45"/>
      <c r="F37" s="45"/>
      <c r="G37" s="45"/>
      <c r="H37" s="44"/>
      <c r="I37" s="70"/>
      <c r="J37" s="45"/>
      <c r="K37" s="45"/>
      <c r="L37" s="45"/>
      <c r="M37" s="44"/>
      <c r="N37" s="46"/>
    </row>
    <row r="38" spans="2:14" s="48" customFormat="1" ht="12">
      <c r="B38" s="53"/>
      <c r="C38" s="78"/>
      <c r="D38" s="70"/>
      <c r="E38" s="45"/>
      <c r="F38" s="45"/>
      <c r="G38" s="45"/>
      <c r="H38" s="44"/>
      <c r="I38" s="70"/>
      <c r="J38" s="45"/>
      <c r="K38" s="45"/>
      <c r="L38" s="45"/>
      <c r="M38" s="44"/>
      <c r="N38" s="46"/>
    </row>
    <row r="39" spans="2:14" s="48" customFormat="1" ht="12">
      <c r="B39" s="53"/>
      <c r="C39" s="78"/>
      <c r="D39" s="70"/>
      <c r="E39" s="45"/>
      <c r="F39" s="45"/>
      <c r="G39" s="45"/>
      <c r="H39" s="44"/>
      <c r="I39" s="70"/>
      <c r="J39" s="45"/>
      <c r="K39" s="45"/>
      <c r="L39" s="45"/>
      <c r="M39" s="44"/>
      <c r="N39" s="46"/>
    </row>
    <row r="40" spans="2:14" s="48" customFormat="1" ht="12">
      <c r="B40" s="53"/>
      <c r="C40" s="78"/>
      <c r="D40" s="70"/>
      <c r="E40" s="45"/>
      <c r="F40" s="45"/>
      <c r="G40" s="45"/>
      <c r="H40" s="44"/>
      <c r="I40" s="70"/>
      <c r="J40" s="45"/>
      <c r="K40" s="45"/>
      <c r="L40" s="45"/>
      <c r="M40" s="44"/>
      <c r="N40" s="46"/>
    </row>
    <row r="41" spans="2:14" s="48" customFormat="1" ht="12">
      <c r="B41" s="53"/>
      <c r="C41" s="78"/>
      <c r="D41" s="70"/>
      <c r="E41" s="45"/>
      <c r="F41" s="45"/>
      <c r="G41" s="45"/>
      <c r="H41" s="44"/>
      <c r="I41" s="70"/>
      <c r="J41" s="45"/>
      <c r="K41" s="45"/>
      <c r="L41" s="45"/>
      <c r="M41" s="44"/>
      <c r="N41" s="46"/>
    </row>
    <row r="42" spans="2:14" s="48" customFormat="1" ht="12">
      <c r="B42" s="53"/>
      <c r="C42" s="78"/>
      <c r="D42" s="70"/>
      <c r="E42" s="45"/>
      <c r="F42" s="45"/>
      <c r="G42" s="45"/>
      <c r="H42" s="44"/>
      <c r="I42" s="70"/>
      <c r="J42" s="45"/>
      <c r="K42" s="45"/>
      <c r="L42" s="45"/>
      <c r="M42" s="44"/>
      <c r="N42" s="46"/>
    </row>
    <row r="43" spans="2:14" s="48" customFormat="1" ht="12">
      <c r="B43" s="53"/>
      <c r="C43" s="78"/>
      <c r="D43" s="70"/>
      <c r="E43" s="45"/>
      <c r="F43" s="45"/>
      <c r="G43" s="45"/>
      <c r="H43" s="44"/>
      <c r="I43" s="70"/>
      <c r="J43" s="45"/>
      <c r="K43" s="45"/>
      <c r="L43" s="45"/>
      <c r="M43" s="44"/>
      <c r="N43" s="46"/>
    </row>
    <row r="44" spans="2:14" s="48" customFormat="1" ht="12">
      <c r="B44" s="53"/>
      <c r="C44" s="78"/>
      <c r="D44" s="70"/>
      <c r="E44" s="45"/>
      <c r="F44" s="45"/>
      <c r="G44" s="45"/>
      <c r="H44" s="44"/>
      <c r="I44" s="70"/>
      <c r="J44" s="45"/>
      <c r="K44" s="45"/>
      <c r="L44" s="45"/>
      <c r="M44" s="44"/>
      <c r="N44" s="46"/>
    </row>
    <row r="45" spans="2:14" s="48" customFormat="1" ht="12">
      <c r="B45" s="53"/>
      <c r="C45" s="78"/>
      <c r="D45" s="70"/>
      <c r="E45" s="45"/>
      <c r="F45" s="45"/>
      <c r="G45" s="45"/>
      <c r="H45" s="44"/>
      <c r="I45" s="70"/>
      <c r="J45" s="45"/>
      <c r="K45" s="45"/>
      <c r="L45" s="45"/>
      <c r="M45" s="44"/>
      <c r="N45" s="46"/>
    </row>
    <row r="46" spans="2:14" s="48" customFormat="1" ht="12">
      <c r="B46" s="53"/>
      <c r="C46" s="78"/>
      <c r="D46" s="70"/>
      <c r="E46" s="45"/>
      <c r="F46" s="45"/>
      <c r="G46" s="45"/>
      <c r="H46" s="44"/>
      <c r="I46" s="70"/>
      <c r="J46" s="45"/>
      <c r="K46" s="45"/>
      <c r="L46" s="45"/>
      <c r="M46" s="44"/>
      <c r="N46" s="46"/>
    </row>
    <row r="47" spans="2:14" s="48" customFormat="1" ht="12">
      <c r="B47" s="53"/>
      <c r="C47" s="78"/>
      <c r="D47" s="70"/>
      <c r="E47" s="45"/>
      <c r="F47" s="45"/>
      <c r="G47" s="45"/>
      <c r="H47" s="44"/>
      <c r="I47" s="70"/>
      <c r="J47" s="45"/>
      <c r="K47" s="45"/>
      <c r="L47" s="45"/>
      <c r="M47" s="44"/>
      <c r="N47" s="46"/>
    </row>
    <row r="48" spans="2:14" s="48" customFormat="1" ht="12">
      <c r="B48" s="53"/>
      <c r="C48" s="78"/>
      <c r="D48" s="70"/>
      <c r="E48" s="45"/>
      <c r="F48" s="45"/>
      <c r="G48" s="45"/>
      <c r="H48" s="44"/>
      <c r="I48" s="70"/>
      <c r="J48" s="45"/>
      <c r="K48" s="45"/>
      <c r="L48" s="45"/>
      <c r="M48" s="44"/>
      <c r="N48" s="46"/>
    </row>
    <row r="49" spans="2:14" s="48" customFormat="1" ht="12">
      <c r="B49" s="53"/>
      <c r="C49" s="78"/>
      <c r="D49" s="70"/>
      <c r="E49" s="45"/>
      <c r="F49" s="45"/>
      <c r="G49" s="45"/>
      <c r="H49" s="44"/>
      <c r="I49" s="70"/>
      <c r="J49" s="45"/>
      <c r="K49" s="45"/>
      <c r="L49" s="45"/>
      <c r="M49" s="44"/>
      <c r="N49" s="46"/>
    </row>
    <row r="50" spans="2:14" s="48" customFormat="1" ht="12">
      <c r="B50" s="53"/>
      <c r="C50" s="78"/>
      <c r="D50" s="70"/>
      <c r="E50" s="45"/>
      <c r="F50" s="45"/>
      <c r="G50" s="45"/>
      <c r="H50" s="44"/>
      <c r="I50" s="70"/>
      <c r="J50" s="45"/>
      <c r="K50" s="45"/>
      <c r="L50" s="45"/>
      <c r="M50" s="44"/>
      <c r="N50" s="46"/>
    </row>
    <row r="51" spans="2:14" s="48" customFormat="1" ht="12">
      <c r="B51" s="53"/>
      <c r="C51" s="78"/>
      <c r="D51" s="70"/>
      <c r="E51" s="45"/>
      <c r="F51" s="45"/>
      <c r="G51" s="45"/>
      <c r="H51" s="44"/>
      <c r="I51" s="70"/>
      <c r="J51" s="45"/>
      <c r="K51" s="45"/>
      <c r="L51" s="45"/>
      <c r="M51" s="44"/>
      <c r="N51" s="46"/>
    </row>
    <row r="52" spans="2:14" s="48" customFormat="1" ht="12">
      <c r="B52" s="53"/>
      <c r="C52" s="78"/>
      <c r="D52" s="70"/>
      <c r="E52" s="45"/>
      <c r="F52" s="45"/>
      <c r="G52" s="45"/>
      <c r="H52" s="44"/>
      <c r="I52" s="70"/>
      <c r="J52" s="45"/>
      <c r="K52" s="45"/>
      <c r="L52" s="45"/>
      <c r="M52" s="44"/>
      <c r="N52" s="46"/>
    </row>
    <row r="53" spans="2:14" s="48" customFormat="1" ht="12">
      <c r="B53" s="53"/>
      <c r="C53" s="78"/>
      <c r="D53" s="70"/>
      <c r="E53" s="45"/>
      <c r="F53" s="45"/>
      <c r="G53" s="45"/>
      <c r="H53" s="44"/>
      <c r="I53" s="70"/>
      <c r="J53" s="45"/>
      <c r="K53" s="45"/>
      <c r="L53" s="45"/>
      <c r="M53" s="44"/>
      <c r="N53" s="46"/>
    </row>
    <row r="54" spans="2:14" s="48" customFormat="1" ht="12">
      <c r="B54" s="53"/>
      <c r="C54" s="78"/>
      <c r="D54" s="70"/>
      <c r="E54" s="45"/>
      <c r="F54" s="45"/>
      <c r="G54" s="45"/>
      <c r="H54" s="44"/>
      <c r="I54" s="70"/>
      <c r="J54" s="45"/>
      <c r="K54" s="45"/>
      <c r="L54" s="45"/>
      <c r="M54" s="44"/>
      <c r="N54" s="46"/>
    </row>
    <row r="55" spans="2:14" s="48" customFormat="1" ht="12">
      <c r="B55" s="53"/>
      <c r="C55" s="78"/>
      <c r="D55" s="70"/>
      <c r="E55" s="45"/>
      <c r="F55" s="45"/>
      <c r="G55" s="45"/>
      <c r="H55" s="44"/>
      <c r="I55" s="70"/>
      <c r="J55" s="45"/>
      <c r="K55" s="45"/>
      <c r="L55" s="45"/>
      <c r="M55" s="44"/>
      <c r="N55" s="46"/>
    </row>
    <row r="56" spans="2:14" s="48" customFormat="1" ht="12">
      <c r="B56" s="53"/>
      <c r="C56" s="78"/>
      <c r="D56" s="70"/>
      <c r="E56" s="45"/>
      <c r="F56" s="45"/>
      <c r="G56" s="45"/>
      <c r="H56" s="44"/>
      <c r="I56" s="70"/>
      <c r="J56" s="45"/>
      <c r="K56" s="45"/>
      <c r="L56" s="45"/>
      <c r="M56" s="44"/>
      <c r="N56" s="46"/>
    </row>
    <row r="57" spans="2:14" s="48" customFormat="1" ht="12">
      <c r="B57" s="53"/>
      <c r="C57" s="78"/>
      <c r="D57" s="70"/>
      <c r="E57" s="45"/>
      <c r="F57" s="45"/>
      <c r="G57" s="45"/>
      <c r="H57" s="44"/>
      <c r="I57" s="70"/>
      <c r="J57" s="45"/>
      <c r="K57" s="45"/>
      <c r="L57" s="45"/>
      <c r="M57" s="44"/>
      <c r="N57" s="46"/>
    </row>
    <row r="58" spans="2:14" s="48" customFormat="1" ht="12">
      <c r="B58" s="53"/>
      <c r="C58" s="78"/>
      <c r="D58" s="70"/>
      <c r="E58" s="45"/>
      <c r="F58" s="45"/>
      <c r="G58" s="45"/>
      <c r="H58" s="44"/>
      <c r="I58" s="70"/>
      <c r="J58" s="45"/>
      <c r="K58" s="45"/>
      <c r="L58" s="45"/>
      <c r="M58" s="44"/>
      <c r="N58" s="46"/>
    </row>
    <row r="59" spans="2:14" s="48" customFormat="1" ht="12">
      <c r="B59" s="53"/>
      <c r="C59" s="78"/>
      <c r="D59" s="70"/>
      <c r="E59" s="45"/>
      <c r="F59" s="45"/>
      <c r="G59" s="45"/>
      <c r="H59" s="44"/>
      <c r="I59" s="70"/>
      <c r="J59" s="45"/>
      <c r="K59" s="45"/>
      <c r="L59" s="45"/>
      <c r="M59" s="44"/>
      <c r="N59" s="46"/>
    </row>
    <row r="60" spans="2:14" s="48" customFormat="1" ht="12">
      <c r="B60" s="53"/>
      <c r="C60" s="78"/>
      <c r="D60" s="70"/>
      <c r="E60" s="45"/>
      <c r="F60" s="45"/>
      <c r="G60" s="45"/>
      <c r="H60" s="44"/>
      <c r="I60" s="70"/>
      <c r="J60" s="45"/>
      <c r="K60" s="45"/>
      <c r="L60" s="45"/>
      <c r="M60" s="44"/>
      <c r="N60" s="46"/>
    </row>
    <row r="61" spans="2:14" s="48" customFormat="1" ht="12">
      <c r="B61" s="53"/>
      <c r="C61" s="78"/>
      <c r="D61" s="70"/>
      <c r="E61" s="45"/>
      <c r="F61" s="45"/>
      <c r="G61" s="45"/>
      <c r="H61" s="44"/>
      <c r="I61" s="70"/>
      <c r="J61" s="45"/>
      <c r="K61" s="45"/>
      <c r="L61" s="45"/>
      <c r="M61" s="44"/>
      <c r="N61" s="46"/>
    </row>
    <row r="62" spans="2:14" s="48" customFormat="1" ht="12">
      <c r="B62" s="53"/>
      <c r="C62" s="78"/>
      <c r="D62" s="70"/>
      <c r="E62" s="45"/>
      <c r="F62" s="45"/>
      <c r="G62" s="45"/>
      <c r="H62" s="44"/>
      <c r="I62" s="70"/>
      <c r="J62" s="45"/>
      <c r="K62" s="45"/>
      <c r="L62" s="45"/>
      <c r="M62" s="44"/>
      <c r="N62" s="46"/>
    </row>
    <row r="63" spans="2:14" s="48" customFormat="1" ht="12">
      <c r="B63" s="53"/>
      <c r="C63" s="78"/>
      <c r="D63" s="70"/>
      <c r="E63" s="45"/>
      <c r="F63" s="45"/>
      <c r="G63" s="45"/>
      <c r="H63" s="44"/>
      <c r="I63" s="70"/>
      <c r="J63" s="45"/>
      <c r="K63" s="45"/>
      <c r="L63" s="45"/>
      <c r="M63" s="44"/>
      <c r="N63" s="46"/>
    </row>
    <row r="64" spans="2:14" s="48" customFormat="1" ht="12">
      <c r="B64" s="53"/>
      <c r="C64" s="78"/>
      <c r="D64" s="70"/>
      <c r="E64" s="45"/>
      <c r="F64" s="45"/>
      <c r="G64" s="45"/>
      <c r="H64" s="44"/>
      <c r="I64" s="70"/>
      <c r="J64" s="45"/>
      <c r="K64" s="45"/>
      <c r="L64" s="45"/>
      <c r="M64" s="44"/>
      <c r="N64" s="46"/>
    </row>
    <row r="65" spans="2:14" s="48" customFormat="1" ht="12">
      <c r="B65" s="53"/>
      <c r="C65" s="78"/>
      <c r="D65" s="70"/>
      <c r="E65" s="45"/>
      <c r="F65" s="45"/>
      <c r="G65" s="45"/>
      <c r="H65" s="44"/>
      <c r="I65" s="70"/>
      <c r="J65" s="45"/>
      <c r="K65" s="45"/>
      <c r="L65" s="45"/>
      <c r="M65" s="44"/>
      <c r="N65" s="46"/>
    </row>
    <row r="66" spans="2:14" s="48" customFormat="1" ht="12">
      <c r="B66" s="53"/>
      <c r="C66" s="78"/>
      <c r="D66" s="70"/>
      <c r="E66" s="45"/>
      <c r="F66" s="45"/>
      <c r="G66" s="45"/>
      <c r="H66" s="44"/>
      <c r="I66" s="70"/>
      <c r="J66" s="45"/>
      <c r="K66" s="45"/>
      <c r="L66" s="45"/>
      <c r="M66" s="44"/>
      <c r="N66" s="46"/>
    </row>
    <row r="67" spans="2:14" s="48" customFormat="1" ht="12">
      <c r="B67" s="53"/>
      <c r="C67" s="78"/>
      <c r="D67" s="70"/>
      <c r="E67" s="45"/>
      <c r="F67" s="45"/>
      <c r="G67" s="45"/>
      <c r="H67" s="44"/>
      <c r="I67" s="70"/>
      <c r="J67" s="45"/>
      <c r="K67" s="45"/>
      <c r="L67" s="45"/>
      <c r="M67" s="44"/>
      <c r="N67" s="46"/>
    </row>
    <row r="68" spans="2:14" s="48" customFormat="1" ht="12">
      <c r="B68" s="53"/>
      <c r="C68" s="78"/>
      <c r="D68" s="70"/>
      <c r="E68" s="45"/>
      <c r="F68" s="45"/>
      <c r="G68" s="45"/>
      <c r="H68" s="44"/>
      <c r="I68" s="70"/>
      <c r="J68" s="45"/>
      <c r="K68" s="45"/>
      <c r="L68" s="45"/>
      <c r="M68" s="44"/>
      <c r="N68" s="46"/>
    </row>
    <row r="69" spans="2:14" s="48" customFormat="1" ht="12">
      <c r="B69" s="53"/>
      <c r="C69" s="78"/>
      <c r="D69" s="70"/>
      <c r="E69" s="45"/>
      <c r="F69" s="45"/>
      <c r="G69" s="45"/>
      <c r="H69" s="44"/>
      <c r="I69" s="70"/>
      <c r="J69" s="45"/>
      <c r="K69" s="45"/>
      <c r="L69" s="45"/>
      <c r="M69" s="44"/>
      <c r="N69" s="46"/>
    </row>
    <row r="70" spans="2:14" s="48" customFormat="1" ht="12">
      <c r="B70" s="53"/>
      <c r="C70" s="78"/>
      <c r="D70" s="70"/>
      <c r="E70" s="45"/>
      <c r="F70" s="45"/>
      <c r="G70" s="45"/>
      <c r="H70" s="44"/>
      <c r="I70" s="70"/>
      <c r="J70" s="45"/>
      <c r="K70" s="45"/>
      <c r="L70" s="45"/>
      <c r="M70" s="44"/>
      <c r="N70" s="46"/>
    </row>
    <row r="71" spans="2:14" s="48" customFormat="1" ht="12">
      <c r="B71" s="53"/>
      <c r="C71" s="78"/>
      <c r="D71" s="70"/>
      <c r="E71" s="45"/>
      <c r="F71" s="45"/>
      <c r="G71" s="45"/>
      <c r="H71" s="44"/>
      <c r="I71" s="70"/>
      <c r="J71" s="45"/>
      <c r="K71" s="45"/>
      <c r="L71" s="45"/>
      <c r="M71" s="44"/>
      <c r="N71" s="46"/>
    </row>
    <row r="72" spans="2:14" s="48" customFormat="1" ht="12">
      <c r="B72" s="53"/>
      <c r="C72" s="78"/>
      <c r="D72" s="70"/>
      <c r="E72" s="45"/>
      <c r="F72" s="45"/>
      <c r="G72" s="45"/>
      <c r="H72" s="44"/>
      <c r="I72" s="70"/>
      <c r="J72" s="45"/>
      <c r="K72" s="45"/>
      <c r="L72" s="45"/>
      <c r="M72" s="44"/>
      <c r="N72" s="46"/>
    </row>
    <row r="73" spans="2:14" s="48" customFormat="1" ht="12">
      <c r="B73" s="53"/>
      <c r="C73" s="78"/>
      <c r="D73" s="70"/>
      <c r="E73" s="45"/>
      <c r="F73" s="45"/>
      <c r="G73" s="45"/>
      <c r="H73" s="44"/>
      <c r="I73" s="70"/>
      <c r="J73" s="45"/>
      <c r="K73" s="45"/>
      <c r="L73" s="45"/>
      <c r="M73" s="44"/>
      <c r="N73" s="46"/>
    </row>
    <row r="74" spans="2:14" s="48" customFormat="1" ht="12">
      <c r="B74" s="53"/>
      <c r="C74" s="78"/>
      <c r="D74" s="70"/>
      <c r="E74" s="45"/>
      <c r="F74" s="45"/>
      <c r="G74" s="45"/>
      <c r="H74" s="44"/>
      <c r="I74" s="70"/>
      <c r="J74" s="45"/>
      <c r="K74" s="45"/>
      <c r="L74" s="45"/>
      <c r="M74" s="44"/>
      <c r="N74" s="46"/>
    </row>
    <row r="75" spans="2:14" s="48" customFormat="1" ht="12">
      <c r="B75" s="53"/>
      <c r="C75" s="78"/>
      <c r="D75" s="70"/>
      <c r="E75" s="45"/>
      <c r="F75" s="45"/>
      <c r="G75" s="45"/>
      <c r="H75" s="44"/>
      <c r="I75" s="70"/>
      <c r="J75" s="45"/>
      <c r="K75" s="45"/>
      <c r="L75" s="45"/>
      <c r="M75" s="44"/>
      <c r="N75" s="46"/>
    </row>
    <row r="76" spans="2:14" s="48" customFormat="1" ht="12">
      <c r="B76" s="53"/>
      <c r="C76" s="78"/>
      <c r="D76" s="70"/>
      <c r="E76" s="45"/>
      <c r="F76" s="45"/>
      <c r="G76" s="45"/>
      <c r="H76" s="44"/>
      <c r="I76" s="70"/>
      <c r="J76" s="45"/>
      <c r="K76" s="45"/>
      <c r="L76" s="45"/>
      <c r="M76" s="44"/>
      <c r="N76" s="46"/>
    </row>
    <row r="77" spans="2:14" s="48" customFormat="1" ht="12">
      <c r="B77" s="53"/>
      <c r="C77" s="78"/>
      <c r="D77" s="70"/>
      <c r="E77" s="45"/>
      <c r="F77" s="45"/>
      <c r="G77" s="45"/>
      <c r="H77" s="44"/>
      <c r="I77" s="70"/>
      <c r="J77" s="45"/>
      <c r="K77" s="45"/>
      <c r="L77" s="45"/>
      <c r="M77" s="44"/>
      <c r="N77" s="46"/>
    </row>
    <row r="78" spans="2:14" s="48" customFormat="1" ht="12">
      <c r="B78" s="53"/>
      <c r="C78" s="78"/>
      <c r="D78" s="70"/>
      <c r="E78" s="45"/>
      <c r="F78" s="45"/>
      <c r="G78" s="45"/>
      <c r="H78" s="44"/>
      <c r="I78" s="70"/>
      <c r="J78" s="45"/>
      <c r="K78" s="45"/>
      <c r="L78" s="45"/>
      <c r="M78" s="44"/>
      <c r="N78" s="46"/>
    </row>
    <row r="79" spans="2:14" s="48" customFormat="1" ht="12">
      <c r="B79" s="53"/>
      <c r="C79" s="78"/>
      <c r="D79" s="70"/>
      <c r="E79" s="45"/>
      <c r="F79" s="45"/>
      <c r="G79" s="45"/>
      <c r="H79" s="44"/>
      <c r="I79" s="70"/>
      <c r="J79" s="45"/>
      <c r="K79" s="45"/>
      <c r="L79" s="45"/>
      <c r="M79" s="44"/>
      <c r="N79" s="46"/>
    </row>
    <row r="80" spans="2:14" s="48" customFormat="1" ht="12">
      <c r="B80" s="53"/>
      <c r="C80" s="78"/>
      <c r="D80" s="70"/>
      <c r="E80" s="45"/>
      <c r="F80" s="45"/>
      <c r="G80" s="45"/>
      <c r="H80" s="44"/>
      <c r="I80" s="70"/>
      <c r="J80" s="45"/>
      <c r="K80" s="45"/>
      <c r="L80" s="45"/>
      <c r="M80" s="44"/>
      <c r="N80" s="46"/>
    </row>
    <row r="81" spans="2:14" s="48" customFormat="1" ht="12">
      <c r="B81" s="53"/>
      <c r="C81" s="78"/>
      <c r="D81" s="70"/>
      <c r="E81" s="45"/>
      <c r="F81" s="45"/>
      <c r="G81" s="45"/>
      <c r="H81" s="44"/>
      <c r="I81" s="70"/>
      <c r="J81" s="45"/>
      <c r="K81" s="45"/>
      <c r="L81" s="45"/>
      <c r="M81" s="44"/>
      <c r="N81" s="46"/>
    </row>
    <row r="82" spans="2:14" s="48" customFormat="1" ht="12">
      <c r="B82" s="53"/>
      <c r="C82" s="78"/>
      <c r="D82" s="70"/>
      <c r="E82" s="45"/>
      <c r="F82" s="45"/>
      <c r="G82" s="45"/>
      <c r="H82" s="44"/>
      <c r="I82" s="70"/>
      <c r="J82" s="45"/>
      <c r="K82" s="45"/>
      <c r="L82" s="45"/>
      <c r="M82" s="44"/>
      <c r="N82" s="46"/>
    </row>
    <row r="83" spans="2:14" s="48" customFormat="1" ht="12">
      <c r="B83" s="53"/>
      <c r="C83" s="78"/>
      <c r="D83" s="70"/>
      <c r="E83" s="45"/>
      <c r="F83" s="45"/>
      <c r="G83" s="45"/>
      <c r="H83" s="44"/>
      <c r="I83" s="70"/>
      <c r="J83" s="45"/>
      <c r="K83" s="45"/>
      <c r="L83" s="45"/>
      <c r="M83" s="44"/>
      <c r="N83" s="46"/>
    </row>
    <row r="84" spans="2:14" s="48" customFormat="1" ht="12">
      <c r="B84" s="53"/>
      <c r="C84" s="78"/>
      <c r="D84" s="70"/>
      <c r="E84" s="45"/>
      <c r="F84" s="45"/>
      <c r="G84" s="45"/>
      <c r="H84" s="44"/>
      <c r="I84" s="70"/>
      <c r="J84" s="45"/>
      <c r="K84" s="45"/>
      <c r="L84" s="45"/>
      <c r="M84" s="44"/>
      <c r="N84" s="46"/>
    </row>
    <row r="85" spans="2:14" s="48" customFormat="1" ht="12">
      <c r="B85" s="53"/>
      <c r="C85" s="78"/>
      <c r="D85" s="70"/>
      <c r="E85" s="45"/>
      <c r="F85" s="45"/>
      <c r="G85" s="45"/>
      <c r="H85" s="44"/>
      <c r="I85" s="70"/>
      <c r="J85" s="45"/>
      <c r="K85" s="45"/>
      <c r="L85" s="45"/>
      <c r="M85" s="44"/>
      <c r="N85" s="46"/>
    </row>
    <row r="86" spans="2:14" s="48" customFormat="1" ht="12">
      <c r="B86" s="53"/>
      <c r="C86" s="78"/>
      <c r="D86" s="70"/>
      <c r="E86" s="45"/>
      <c r="F86" s="45"/>
      <c r="G86" s="45"/>
      <c r="H86" s="44"/>
      <c r="I86" s="70"/>
      <c r="J86" s="45"/>
      <c r="K86" s="45"/>
      <c r="L86" s="45"/>
      <c r="M86" s="44"/>
      <c r="N86" s="46"/>
    </row>
    <row r="87" spans="2:14" s="48" customFormat="1" ht="12">
      <c r="B87" s="53"/>
      <c r="C87" s="78"/>
      <c r="D87" s="70"/>
      <c r="E87" s="45"/>
      <c r="F87" s="45"/>
      <c r="G87" s="45"/>
      <c r="H87" s="44"/>
      <c r="I87" s="70"/>
      <c r="J87" s="45"/>
      <c r="K87" s="45"/>
      <c r="L87" s="45"/>
      <c r="M87" s="44"/>
      <c r="N87" s="46"/>
    </row>
    <row r="88" spans="2:14" s="48" customFormat="1" ht="12">
      <c r="B88" s="53"/>
      <c r="C88" s="78"/>
      <c r="D88" s="70"/>
      <c r="E88" s="45"/>
      <c r="F88" s="45"/>
      <c r="G88" s="45"/>
      <c r="H88" s="44"/>
      <c r="I88" s="70"/>
      <c r="J88" s="45"/>
      <c r="K88" s="45"/>
      <c r="L88" s="45"/>
      <c r="M88" s="44"/>
      <c r="N88" s="46"/>
    </row>
    <row r="89" spans="2:14" s="48" customFormat="1" ht="12">
      <c r="B89" s="53"/>
      <c r="C89" s="78"/>
      <c r="D89" s="70"/>
      <c r="E89" s="45"/>
      <c r="F89" s="45"/>
      <c r="G89" s="45"/>
      <c r="H89" s="44"/>
      <c r="I89" s="70"/>
      <c r="J89" s="45"/>
      <c r="K89" s="45"/>
      <c r="L89" s="45"/>
      <c r="M89" s="44"/>
      <c r="N89" s="46"/>
    </row>
    <row r="90" spans="2:14" s="48" customFormat="1" ht="12">
      <c r="B90" s="53"/>
      <c r="C90" s="78"/>
      <c r="D90" s="70"/>
      <c r="E90" s="45"/>
      <c r="F90" s="45"/>
      <c r="G90" s="45"/>
      <c r="H90" s="44"/>
      <c r="I90" s="70"/>
      <c r="J90" s="45"/>
      <c r="K90" s="45"/>
      <c r="L90" s="45"/>
      <c r="M90" s="44"/>
      <c r="N90" s="46"/>
    </row>
    <row r="91" spans="2:14" s="48" customFormat="1" ht="12">
      <c r="B91" s="53"/>
      <c r="C91" s="78"/>
      <c r="D91" s="70"/>
      <c r="E91" s="45"/>
      <c r="F91" s="45"/>
      <c r="G91" s="45"/>
      <c r="H91" s="44"/>
      <c r="I91" s="70"/>
      <c r="J91" s="45"/>
      <c r="K91" s="45"/>
      <c r="L91" s="45"/>
      <c r="M91" s="44"/>
      <c r="N91" s="46"/>
    </row>
    <row r="92" spans="2:14" s="48" customFormat="1" ht="12">
      <c r="B92" s="53"/>
      <c r="C92" s="78"/>
      <c r="D92" s="70"/>
      <c r="E92" s="45"/>
      <c r="F92" s="45"/>
      <c r="G92" s="45"/>
      <c r="H92" s="44"/>
      <c r="I92" s="70"/>
      <c r="J92" s="45"/>
      <c r="K92" s="45"/>
      <c r="L92" s="45"/>
      <c r="M92" s="44"/>
      <c r="N92" s="46"/>
    </row>
    <row r="93" spans="2:14" s="48" customFormat="1" ht="12">
      <c r="B93" s="53"/>
      <c r="C93" s="78"/>
      <c r="D93" s="70"/>
      <c r="E93" s="45"/>
      <c r="F93" s="45"/>
      <c r="G93" s="45"/>
      <c r="H93" s="44"/>
      <c r="I93" s="70"/>
      <c r="J93" s="45"/>
      <c r="K93" s="45"/>
      <c r="L93" s="45"/>
      <c r="M93" s="44"/>
      <c r="N93" s="46"/>
    </row>
    <row r="94" spans="2:14" s="48" customFormat="1" ht="12">
      <c r="B94" s="53"/>
      <c r="C94" s="78"/>
      <c r="D94" s="70"/>
      <c r="E94" s="45"/>
      <c r="F94" s="45"/>
      <c r="G94" s="45"/>
      <c r="H94" s="44"/>
      <c r="I94" s="70"/>
      <c r="J94" s="45"/>
      <c r="K94" s="45"/>
      <c r="L94" s="45"/>
      <c r="M94" s="44"/>
      <c r="N94" s="46"/>
    </row>
    <row r="95" spans="2:14" s="48" customFormat="1" ht="12">
      <c r="B95" s="53"/>
      <c r="C95" s="78"/>
      <c r="D95" s="70"/>
      <c r="E95" s="45"/>
      <c r="F95" s="45"/>
      <c r="G95" s="45"/>
      <c r="H95" s="44"/>
      <c r="I95" s="70"/>
      <c r="J95" s="45"/>
      <c r="K95" s="45"/>
      <c r="L95" s="45"/>
      <c r="M95" s="44"/>
      <c r="N95" s="46"/>
    </row>
    <row r="96" spans="2:14" s="48" customFormat="1" ht="12">
      <c r="B96" s="53"/>
      <c r="C96" s="78"/>
      <c r="D96" s="70"/>
      <c r="E96" s="45"/>
      <c r="F96" s="45"/>
      <c r="G96" s="45"/>
      <c r="H96" s="44"/>
      <c r="I96" s="70"/>
      <c r="J96" s="45"/>
      <c r="K96" s="45"/>
      <c r="L96" s="45"/>
      <c r="M96" s="44"/>
      <c r="N96" s="46"/>
    </row>
    <row r="97" spans="2:14" s="48" customFormat="1" ht="12">
      <c r="B97" s="53"/>
      <c r="C97" s="78"/>
      <c r="D97" s="70"/>
      <c r="E97" s="45"/>
      <c r="F97" s="45"/>
      <c r="G97" s="45"/>
      <c r="H97" s="44"/>
      <c r="I97" s="70"/>
      <c r="J97" s="45"/>
      <c r="K97" s="45"/>
      <c r="L97" s="45"/>
      <c r="M97" s="44"/>
      <c r="N97" s="46"/>
    </row>
    <row r="98" spans="2:14" s="48" customFormat="1" ht="12">
      <c r="B98" s="53"/>
      <c r="C98" s="78"/>
      <c r="D98" s="70"/>
      <c r="E98" s="45"/>
      <c r="F98" s="45"/>
      <c r="G98" s="45"/>
      <c r="H98" s="44"/>
      <c r="I98" s="70"/>
      <c r="J98" s="45"/>
      <c r="K98" s="45"/>
      <c r="L98" s="45"/>
      <c r="M98" s="44"/>
      <c r="N98" s="46"/>
    </row>
    <row r="99" spans="2:14" s="48" customFormat="1" ht="12">
      <c r="B99" s="53"/>
      <c r="C99" s="78"/>
      <c r="D99" s="70"/>
      <c r="E99" s="45"/>
      <c r="F99" s="45"/>
      <c r="G99" s="45"/>
      <c r="H99" s="44"/>
      <c r="I99" s="70"/>
      <c r="J99" s="45"/>
      <c r="K99" s="45"/>
      <c r="L99" s="45"/>
      <c r="M99" s="44"/>
      <c r="N99" s="46"/>
    </row>
    <row r="100" spans="2:14" s="48" customFormat="1" ht="12">
      <c r="B100" s="53"/>
      <c r="C100" s="78"/>
      <c r="D100" s="70"/>
      <c r="E100" s="45"/>
      <c r="F100" s="45"/>
      <c r="G100" s="45"/>
      <c r="H100" s="44"/>
      <c r="I100" s="70"/>
      <c r="J100" s="45"/>
      <c r="K100" s="45"/>
      <c r="L100" s="45"/>
      <c r="M100" s="44"/>
      <c r="N100" s="46"/>
    </row>
    <row r="101" spans="2:14" s="48" customFormat="1" ht="12">
      <c r="B101" s="53"/>
      <c r="C101" s="78"/>
      <c r="D101" s="70"/>
      <c r="E101" s="45"/>
      <c r="F101" s="45"/>
      <c r="G101" s="45"/>
      <c r="H101" s="44"/>
      <c r="I101" s="70"/>
      <c r="J101" s="45"/>
      <c r="K101" s="45"/>
      <c r="L101" s="45"/>
      <c r="M101" s="44"/>
      <c r="N101" s="46"/>
    </row>
    <row r="102" spans="2:14" s="48" customFormat="1" ht="12">
      <c r="B102" s="53"/>
      <c r="C102" s="78"/>
      <c r="D102" s="70"/>
      <c r="E102" s="45"/>
      <c r="F102" s="45"/>
      <c r="G102" s="45"/>
      <c r="H102" s="44"/>
      <c r="I102" s="70"/>
      <c r="J102" s="45"/>
      <c r="K102" s="45"/>
      <c r="L102" s="45"/>
      <c r="M102" s="44"/>
      <c r="N102" s="46"/>
    </row>
    <row r="103" spans="2:14" s="48" customFormat="1" ht="12">
      <c r="B103" s="53"/>
      <c r="C103" s="78"/>
      <c r="D103" s="70"/>
      <c r="E103" s="45"/>
      <c r="F103" s="45"/>
      <c r="G103" s="45"/>
      <c r="H103" s="44"/>
      <c r="I103" s="70"/>
      <c r="J103" s="45"/>
      <c r="K103" s="45"/>
      <c r="L103" s="45"/>
      <c r="M103" s="44"/>
      <c r="N103" s="46"/>
    </row>
    <row r="104" spans="2:14" s="48" customFormat="1" ht="12">
      <c r="B104" s="53"/>
      <c r="C104" s="78"/>
      <c r="D104" s="70"/>
      <c r="E104" s="45"/>
      <c r="F104" s="45"/>
      <c r="G104" s="45"/>
      <c r="H104" s="44"/>
      <c r="I104" s="70"/>
      <c r="J104" s="45"/>
      <c r="K104" s="45"/>
      <c r="L104" s="45"/>
      <c r="M104" s="44"/>
      <c r="N104" s="46"/>
    </row>
    <row r="105" spans="2:14" s="48" customFormat="1" ht="12">
      <c r="B105" s="53"/>
      <c r="C105" s="78"/>
      <c r="D105" s="70"/>
      <c r="E105" s="45"/>
      <c r="F105" s="45"/>
      <c r="G105" s="45"/>
      <c r="H105" s="44"/>
      <c r="I105" s="70"/>
      <c r="J105" s="45"/>
      <c r="K105" s="45"/>
      <c r="L105" s="45"/>
      <c r="M105" s="44"/>
      <c r="N105" s="46"/>
    </row>
    <row r="106" spans="2:14" s="48" customFormat="1" ht="12">
      <c r="B106" s="53"/>
      <c r="C106" s="78"/>
      <c r="D106" s="70"/>
      <c r="E106" s="45"/>
      <c r="F106" s="45"/>
      <c r="G106" s="45"/>
      <c r="H106" s="44"/>
      <c r="I106" s="70"/>
      <c r="J106" s="45"/>
      <c r="K106" s="45"/>
      <c r="L106" s="45"/>
      <c r="M106" s="44"/>
      <c r="N106" s="46"/>
    </row>
    <row r="107" spans="2:14" s="48" customFormat="1" ht="12">
      <c r="B107" s="53"/>
      <c r="C107" s="78"/>
      <c r="D107" s="70"/>
      <c r="E107" s="45"/>
      <c r="F107" s="45"/>
      <c r="G107" s="45"/>
      <c r="H107" s="44"/>
      <c r="I107" s="70"/>
      <c r="J107" s="45"/>
      <c r="K107" s="45"/>
      <c r="L107" s="45"/>
      <c r="M107" s="44"/>
      <c r="N107" s="46"/>
    </row>
    <row r="108" spans="2:14" s="48" customFormat="1" ht="12">
      <c r="B108" s="53"/>
      <c r="C108" s="78"/>
      <c r="D108" s="70"/>
      <c r="E108" s="45"/>
      <c r="F108" s="45"/>
      <c r="G108" s="45"/>
      <c r="H108" s="44"/>
      <c r="I108" s="70"/>
      <c r="J108" s="45"/>
      <c r="K108" s="45"/>
      <c r="L108" s="45"/>
      <c r="M108" s="44"/>
      <c r="N108" s="46"/>
    </row>
    <row r="109" spans="2:14" s="48" customFormat="1" ht="12">
      <c r="B109" s="53"/>
      <c r="C109" s="78"/>
      <c r="D109" s="70"/>
      <c r="E109" s="45"/>
      <c r="F109" s="45"/>
      <c r="G109" s="45"/>
      <c r="H109" s="44"/>
      <c r="I109" s="70"/>
      <c r="J109" s="45"/>
      <c r="K109" s="45"/>
      <c r="L109" s="45"/>
      <c r="M109" s="44"/>
      <c r="N109" s="46"/>
    </row>
    <row r="110" spans="2:14" s="48" customFormat="1" ht="12">
      <c r="B110" s="53"/>
      <c r="C110" s="78"/>
      <c r="D110" s="70"/>
      <c r="E110" s="45"/>
      <c r="F110" s="45"/>
      <c r="G110" s="45"/>
      <c r="H110" s="44"/>
      <c r="I110" s="70"/>
      <c r="J110" s="45"/>
      <c r="K110" s="45"/>
      <c r="L110" s="45"/>
      <c r="M110" s="44"/>
      <c r="N110" s="46"/>
    </row>
    <row r="111" spans="2:14" s="48" customFormat="1" ht="12">
      <c r="B111" s="53"/>
      <c r="C111" s="78"/>
      <c r="D111" s="70"/>
      <c r="E111" s="45"/>
      <c r="F111" s="45"/>
      <c r="G111" s="45"/>
      <c r="H111" s="44"/>
      <c r="I111" s="70"/>
      <c r="J111" s="45"/>
      <c r="K111" s="45"/>
      <c r="L111" s="45"/>
      <c r="M111" s="44"/>
      <c r="N111" s="46"/>
    </row>
    <row r="112" spans="2:14" s="48" customFormat="1" ht="12">
      <c r="B112" s="53"/>
      <c r="C112" s="78"/>
      <c r="D112" s="70"/>
      <c r="E112" s="45"/>
      <c r="F112" s="45"/>
      <c r="G112" s="45"/>
      <c r="H112" s="44"/>
      <c r="I112" s="70"/>
      <c r="J112" s="45"/>
      <c r="K112" s="45"/>
      <c r="L112" s="45"/>
      <c r="M112" s="44"/>
      <c r="N112" s="46"/>
    </row>
    <row r="113" spans="2:14" s="48" customFormat="1" ht="12">
      <c r="B113" s="53"/>
      <c r="C113" s="78"/>
      <c r="D113" s="70"/>
      <c r="E113" s="45"/>
      <c r="F113" s="45"/>
      <c r="G113" s="45"/>
      <c r="H113" s="44"/>
      <c r="I113" s="70"/>
      <c r="J113" s="45"/>
      <c r="K113" s="45"/>
      <c r="L113" s="45"/>
      <c r="M113" s="44"/>
      <c r="N113" s="46"/>
    </row>
    <row r="114" spans="2:14" s="48" customFormat="1" ht="12">
      <c r="B114" s="53"/>
      <c r="C114" s="78"/>
      <c r="D114" s="70"/>
      <c r="E114" s="45"/>
      <c r="F114" s="45"/>
      <c r="G114" s="45"/>
      <c r="H114" s="44"/>
      <c r="I114" s="70"/>
      <c r="J114" s="45"/>
      <c r="K114" s="45"/>
      <c r="L114" s="45"/>
      <c r="M114" s="44"/>
      <c r="N114" s="46"/>
    </row>
    <row r="115" spans="2:14" s="48" customFormat="1" ht="12">
      <c r="B115" s="53"/>
      <c r="C115" s="78"/>
      <c r="D115" s="70"/>
      <c r="E115" s="45"/>
      <c r="F115" s="45"/>
      <c r="G115" s="45"/>
      <c r="H115" s="44"/>
      <c r="I115" s="70"/>
      <c r="J115" s="45"/>
      <c r="K115" s="45"/>
      <c r="L115" s="45"/>
      <c r="M115" s="44"/>
      <c r="N115" s="46"/>
    </row>
    <row r="116" spans="2:14" s="48" customFormat="1" ht="12">
      <c r="B116" s="53"/>
      <c r="C116" s="78"/>
      <c r="D116" s="70"/>
      <c r="E116" s="45"/>
      <c r="F116" s="45"/>
      <c r="G116" s="45"/>
      <c r="H116" s="44"/>
      <c r="I116" s="70"/>
      <c r="J116" s="45"/>
      <c r="K116" s="45"/>
      <c r="L116" s="45"/>
      <c r="M116" s="44"/>
      <c r="N116" s="46"/>
    </row>
    <row r="117" spans="2:14" s="48" customFormat="1" ht="12">
      <c r="B117" s="53"/>
      <c r="C117" s="78"/>
      <c r="D117" s="70"/>
      <c r="E117" s="45"/>
      <c r="F117" s="45"/>
      <c r="G117" s="45"/>
      <c r="H117" s="44"/>
      <c r="I117" s="70"/>
      <c r="J117" s="45"/>
      <c r="K117" s="45"/>
      <c r="L117" s="45"/>
      <c r="M117" s="44"/>
      <c r="N117" s="46"/>
    </row>
    <row r="118" spans="2:14" s="48" customFormat="1" ht="12">
      <c r="B118" s="53"/>
      <c r="C118" s="78"/>
      <c r="D118" s="70"/>
      <c r="E118" s="45"/>
      <c r="F118" s="45"/>
      <c r="G118" s="45"/>
      <c r="H118" s="44"/>
      <c r="I118" s="70"/>
      <c r="J118" s="45"/>
      <c r="K118" s="45"/>
      <c r="L118" s="45"/>
      <c r="M118" s="44"/>
      <c r="N118" s="46"/>
    </row>
    <row r="119" spans="2:14" s="48" customFormat="1" ht="12">
      <c r="B119" s="53"/>
      <c r="C119" s="78"/>
      <c r="D119" s="70"/>
      <c r="E119" s="45"/>
      <c r="F119" s="45"/>
      <c r="G119" s="45"/>
      <c r="H119" s="44"/>
      <c r="I119" s="70"/>
      <c r="J119" s="45"/>
      <c r="K119" s="45"/>
      <c r="L119" s="45"/>
      <c r="M119" s="44"/>
      <c r="N119" s="46"/>
    </row>
    <row r="120" spans="2:14" s="48" customFormat="1" ht="12">
      <c r="B120" s="53"/>
      <c r="C120" s="78"/>
      <c r="D120" s="70"/>
      <c r="E120" s="45"/>
      <c r="F120" s="45"/>
      <c r="G120" s="45"/>
      <c r="H120" s="44"/>
      <c r="I120" s="70"/>
      <c r="J120" s="45"/>
      <c r="K120" s="45"/>
      <c r="L120" s="45"/>
      <c r="M120" s="44"/>
      <c r="N120" s="46"/>
    </row>
    <row r="121" spans="2:14" s="48" customFormat="1" ht="12">
      <c r="B121" s="53"/>
      <c r="C121" s="78"/>
      <c r="D121" s="70"/>
      <c r="E121" s="45"/>
      <c r="F121" s="45"/>
      <c r="G121" s="45"/>
      <c r="H121" s="44"/>
      <c r="I121" s="70"/>
      <c r="J121" s="45"/>
      <c r="K121" s="45"/>
      <c r="L121" s="45"/>
      <c r="M121" s="44"/>
      <c r="N121" s="46"/>
    </row>
    <row r="122" spans="2:14" s="48" customFormat="1" ht="12">
      <c r="B122" s="53"/>
      <c r="C122" s="78"/>
      <c r="D122" s="70"/>
      <c r="E122" s="45"/>
      <c r="F122" s="45"/>
      <c r="G122" s="45"/>
      <c r="H122" s="44"/>
      <c r="I122" s="70"/>
      <c r="J122" s="45"/>
      <c r="K122" s="45"/>
      <c r="L122" s="45"/>
      <c r="M122" s="44"/>
      <c r="N122" s="46"/>
    </row>
    <row r="123" spans="2:14" s="48" customFormat="1" ht="12">
      <c r="B123" s="53"/>
      <c r="C123" s="78"/>
      <c r="D123" s="70"/>
      <c r="E123" s="45"/>
      <c r="F123" s="45"/>
      <c r="G123" s="45"/>
      <c r="H123" s="44"/>
      <c r="I123" s="70"/>
      <c r="J123" s="45"/>
      <c r="K123" s="45"/>
      <c r="L123" s="45"/>
      <c r="M123" s="44"/>
      <c r="N123" s="46"/>
    </row>
    <row r="124" spans="2:14" s="48" customFormat="1" ht="12">
      <c r="B124" s="53"/>
      <c r="C124" s="78"/>
      <c r="D124" s="70"/>
      <c r="E124" s="45"/>
      <c r="F124" s="45"/>
      <c r="G124" s="45"/>
      <c r="H124" s="44"/>
      <c r="I124" s="70"/>
      <c r="J124" s="45"/>
      <c r="K124" s="45"/>
      <c r="L124" s="45"/>
      <c r="M124" s="44"/>
      <c r="N124" s="46"/>
    </row>
    <row r="125" spans="2:14" s="48" customFormat="1" ht="12">
      <c r="B125" s="53"/>
      <c r="C125" s="78"/>
      <c r="D125" s="70"/>
      <c r="E125" s="45"/>
      <c r="F125" s="45"/>
      <c r="G125" s="45"/>
      <c r="H125" s="44"/>
      <c r="I125" s="70"/>
      <c r="J125" s="45"/>
      <c r="K125" s="45"/>
      <c r="L125" s="45"/>
      <c r="M125" s="44"/>
      <c r="N125" s="46"/>
    </row>
    <row r="126" spans="2:14" s="48" customFormat="1" ht="12">
      <c r="B126" s="53"/>
      <c r="C126" s="78"/>
      <c r="D126" s="70"/>
      <c r="E126" s="45"/>
      <c r="F126" s="45"/>
      <c r="G126" s="45"/>
      <c r="H126" s="44"/>
      <c r="I126" s="70"/>
      <c r="J126" s="45"/>
      <c r="K126" s="45"/>
      <c r="L126" s="45"/>
      <c r="M126" s="44"/>
      <c r="N126" s="46"/>
    </row>
    <row r="127" spans="2:14" s="48" customFormat="1" ht="12">
      <c r="B127" s="53"/>
      <c r="C127" s="78"/>
      <c r="D127" s="70"/>
      <c r="E127" s="45"/>
      <c r="F127" s="45"/>
      <c r="G127" s="45"/>
      <c r="H127" s="44"/>
      <c r="I127" s="70"/>
      <c r="J127" s="45"/>
      <c r="K127" s="45"/>
      <c r="L127" s="45"/>
      <c r="M127" s="44"/>
      <c r="N127" s="46"/>
    </row>
    <row r="128" spans="2:14" s="48" customFormat="1" ht="12">
      <c r="B128" s="53"/>
      <c r="C128" s="78"/>
      <c r="D128" s="70"/>
      <c r="E128" s="45"/>
      <c r="F128" s="45"/>
      <c r="G128" s="45"/>
      <c r="H128" s="44"/>
      <c r="I128" s="70"/>
      <c r="J128" s="45"/>
      <c r="K128" s="45"/>
      <c r="L128" s="45"/>
      <c r="M128" s="44"/>
      <c r="N128" s="46"/>
    </row>
    <row r="129" spans="2:14" s="48" customFormat="1" ht="12">
      <c r="B129" s="53"/>
      <c r="C129" s="78"/>
      <c r="D129" s="70"/>
      <c r="E129" s="45"/>
      <c r="F129" s="45"/>
      <c r="G129" s="45"/>
      <c r="H129" s="44"/>
      <c r="I129" s="70"/>
      <c r="J129" s="45"/>
      <c r="K129" s="45"/>
      <c r="L129" s="45"/>
      <c r="M129" s="44"/>
      <c r="N129" s="46"/>
    </row>
    <row r="130" spans="2:14" s="48" customFormat="1" ht="12">
      <c r="B130" s="53"/>
      <c r="C130" s="78"/>
      <c r="D130" s="70"/>
      <c r="E130" s="45"/>
      <c r="F130" s="45"/>
      <c r="G130" s="45"/>
      <c r="H130" s="44"/>
      <c r="I130" s="70"/>
      <c r="J130" s="45"/>
      <c r="K130" s="45"/>
      <c r="L130" s="45"/>
      <c r="M130" s="44"/>
      <c r="N130" s="46"/>
    </row>
    <row r="131" spans="2:14" s="48" customFormat="1" ht="12">
      <c r="B131" s="53"/>
      <c r="C131" s="78"/>
      <c r="D131" s="70"/>
      <c r="E131" s="45"/>
      <c r="F131" s="45"/>
      <c r="G131" s="45"/>
      <c r="H131" s="44"/>
      <c r="I131" s="70"/>
      <c r="J131" s="45"/>
      <c r="K131" s="45"/>
      <c r="L131" s="45"/>
      <c r="M131" s="44"/>
      <c r="N131" s="46"/>
    </row>
    <row r="132" spans="2:14" s="48" customFormat="1" ht="12">
      <c r="B132" s="53"/>
      <c r="C132" s="78"/>
      <c r="D132" s="70"/>
      <c r="E132" s="45"/>
      <c r="F132" s="45"/>
      <c r="G132" s="45"/>
      <c r="H132" s="44"/>
      <c r="I132" s="70"/>
      <c r="J132" s="45"/>
      <c r="K132" s="45"/>
      <c r="L132" s="45"/>
      <c r="M132" s="44"/>
      <c r="N132" s="46"/>
    </row>
    <row r="133" spans="2:14" s="48" customFormat="1" ht="12">
      <c r="B133" s="53"/>
      <c r="C133" s="78"/>
      <c r="D133" s="70"/>
      <c r="E133" s="45"/>
      <c r="F133" s="45"/>
      <c r="G133" s="45"/>
      <c r="H133" s="44"/>
      <c r="I133" s="70"/>
      <c r="J133" s="45"/>
      <c r="K133" s="45"/>
      <c r="L133" s="45"/>
      <c r="M133" s="44"/>
      <c r="N133" s="46"/>
    </row>
    <row r="134" spans="2:14" s="48" customFormat="1" ht="12">
      <c r="B134" s="53"/>
      <c r="C134" s="78"/>
      <c r="D134" s="70"/>
      <c r="E134" s="45"/>
      <c r="F134" s="45"/>
      <c r="G134" s="45"/>
      <c r="H134" s="44"/>
      <c r="I134" s="70"/>
      <c r="J134" s="45"/>
      <c r="K134" s="45"/>
      <c r="L134" s="45"/>
      <c r="M134" s="44"/>
      <c r="N134" s="46"/>
    </row>
    <row r="135" spans="2:14" s="48" customFormat="1" ht="12">
      <c r="B135" s="53"/>
      <c r="C135" s="78"/>
      <c r="D135" s="70"/>
      <c r="E135" s="45"/>
      <c r="F135" s="45"/>
      <c r="G135" s="45"/>
      <c r="H135" s="44"/>
      <c r="I135" s="70"/>
      <c r="J135" s="45"/>
      <c r="K135" s="45"/>
      <c r="L135" s="45"/>
      <c r="M135" s="44"/>
      <c r="N135" s="46"/>
    </row>
  </sheetData>
  <mergeCells count="1">
    <mergeCell ref="A7:B7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28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85" zoomScaleNormal="85" workbookViewId="0" topLeftCell="A1">
      <selection activeCell="A1" sqref="A1:D1"/>
    </sheetView>
  </sheetViews>
  <sheetFormatPr defaultColWidth="9.140625" defaultRowHeight="12.75"/>
  <cols>
    <col min="1" max="1" width="1.7109375" style="3" customWidth="1"/>
    <col min="2" max="2" width="5.7109375" style="515" customWidth="1"/>
    <col min="3" max="3" width="49.28125" style="47" customWidth="1"/>
    <col min="4" max="6" width="9.7109375" style="8" customWidth="1"/>
    <col min="7" max="7" width="9.140625" style="8" customWidth="1"/>
    <col min="8" max="10" width="9.7109375" style="8" customWidth="1"/>
    <col min="11" max="11" width="9.140625" style="8" customWidth="1"/>
    <col min="12" max="16384" width="9.140625" style="3" customWidth="1"/>
  </cols>
  <sheetData>
    <row r="1" spans="1:11" s="469" customFormat="1" ht="20.25">
      <c r="A1" s="264" t="s">
        <v>451</v>
      </c>
      <c r="B1" s="466"/>
      <c r="C1" s="467"/>
      <c r="D1" s="468"/>
      <c r="E1" s="468"/>
      <c r="F1" s="468"/>
      <c r="G1" s="468"/>
      <c r="H1" s="468"/>
      <c r="I1" s="468"/>
      <c r="J1" s="468"/>
      <c r="K1" s="468"/>
    </row>
    <row r="2" spans="1:11" s="474" customFormat="1" ht="18">
      <c r="A2" s="265" t="s">
        <v>452</v>
      </c>
      <c r="B2" s="470"/>
      <c r="C2" s="471"/>
      <c r="D2" s="472"/>
      <c r="E2" s="472"/>
      <c r="F2" s="472"/>
      <c r="G2" s="473"/>
      <c r="H2" s="472"/>
      <c r="I2" s="472"/>
      <c r="J2" s="472"/>
      <c r="K2" s="473"/>
    </row>
    <row r="3" spans="1:11" s="2" customFormat="1" ht="12">
      <c r="A3" s="475"/>
      <c r="B3" s="476"/>
      <c r="C3" s="475"/>
      <c r="D3" s="7"/>
      <c r="E3" s="7"/>
      <c r="F3" s="7"/>
      <c r="G3" s="7"/>
      <c r="H3" s="7"/>
      <c r="I3" s="7"/>
      <c r="J3" s="7"/>
      <c r="K3" s="30" t="s">
        <v>450</v>
      </c>
    </row>
    <row r="4" spans="1:11" s="9" customFormat="1" ht="12.75">
      <c r="A4" s="477"/>
      <c r="B4" s="478"/>
      <c r="C4" s="479"/>
      <c r="D4" s="403" t="s">
        <v>132</v>
      </c>
      <c r="E4" s="480"/>
      <c r="F4" s="481"/>
      <c r="G4" s="482"/>
      <c r="H4" s="552" t="s">
        <v>133</v>
      </c>
      <c r="I4" s="553"/>
      <c r="J4" s="553"/>
      <c r="K4" s="554"/>
    </row>
    <row r="5" spans="1:11" ht="24">
      <c r="A5" s="483" t="s">
        <v>429</v>
      </c>
      <c r="B5" s="484"/>
      <c r="C5" s="485"/>
      <c r="D5" s="15" t="s">
        <v>346</v>
      </c>
      <c r="E5" s="10"/>
      <c r="F5" s="226"/>
      <c r="G5" s="223" t="s">
        <v>347</v>
      </c>
      <c r="H5" s="15" t="s">
        <v>346</v>
      </c>
      <c r="I5" s="10"/>
      <c r="J5" s="226"/>
      <c r="K5" s="529" t="s">
        <v>347</v>
      </c>
    </row>
    <row r="6" spans="1:11" ht="51">
      <c r="A6" s="11"/>
      <c r="B6" s="486"/>
      <c r="C6" s="487"/>
      <c r="D6" s="488" t="s">
        <v>430</v>
      </c>
      <c r="E6" s="489" t="s">
        <v>348</v>
      </c>
      <c r="F6" s="490" t="s">
        <v>349</v>
      </c>
      <c r="G6" s="225"/>
      <c r="H6" s="488" t="s">
        <v>430</v>
      </c>
      <c r="I6" s="489" t="s">
        <v>348</v>
      </c>
      <c r="J6" s="490" t="s">
        <v>349</v>
      </c>
      <c r="K6" s="225"/>
    </row>
    <row r="7" spans="1:11" s="18" customFormat="1" ht="24" customHeight="1">
      <c r="A7" s="491"/>
      <c r="B7" s="492" t="s">
        <v>43</v>
      </c>
      <c r="D7" s="4">
        <f>SUM(D8:D13)</f>
        <v>2469</v>
      </c>
      <c r="E7" s="4">
        <f>SUM(E8:E13)</f>
        <v>2622</v>
      </c>
      <c r="F7" s="4">
        <f>SUM(F8:F13)</f>
        <v>3022</v>
      </c>
      <c r="G7" s="4">
        <f aca="true" t="shared" si="0" ref="G7:G13">SUM(D7:F7)</f>
        <v>8113</v>
      </c>
      <c r="H7" s="4">
        <f>SUM(H8:H13)</f>
        <v>2469</v>
      </c>
      <c r="I7" s="4">
        <f>SUM(I8:I13)</f>
        <v>2622</v>
      </c>
      <c r="J7" s="4">
        <f>SUM(J8:J13)</f>
        <v>3022</v>
      </c>
      <c r="K7" s="4">
        <f aca="true" t="shared" si="1" ref="K7:K13">SUM(H7:J7)</f>
        <v>8113</v>
      </c>
    </row>
    <row r="8" spans="1:11" s="496" customFormat="1" ht="12.75" customHeight="1">
      <c r="A8" s="493"/>
      <c r="B8" s="494"/>
      <c r="C8" s="495" t="s">
        <v>185</v>
      </c>
      <c r="D8" s="5">
        <f>45+18</f>
        <v>63</v>
      </c>
      <c r="E8" s="5"/>
      <c r="F8" s="5"/>
      <c r="G8" s="5">
        <f t="shared" si="0"/>
        <v>63</v>
      </c>
      <c r="H8" s="5">
        <f>45+18</f>
        <v>63</v>
      </c>
      <c r="I8" s="5"/>
      <c r="J8" s="5"/>
      <c r="K8" s="5">
        <f t="shared" si="1"/>
        <v>63</v>
      </c>
    </row>
    <row r="9" spans="1:11" s="496" customFormat="1" ht="12.75" customHeight="1">
      <c r="A9" s="493"/>
      <c r="B9" s="494"/>
      <c r="C9" s="494" t="s">
        <v>369</v>
      </c>
      <c r="D9" s="5">
        <v>3</v>
      </c>
      <c r="E9" s="5">
        <v>2020</v>
      </c>
      <c r="F9" s="5">
        <v>1200</v>
      </c>
      <c r="G9" s="5">
        <f t="shared" si="0"/>
        <v>3223</v>
      </c>
      <c r="H9" s="5">
        <v>3</v>
      </c>
      <c r="I9" s="5">
        <v>2020</v>
      </c>
      <c r="J9" s="5">
        <v>1200</v>
      </c>
      <c r="K9" s="5">
        <f t="shared" si="1"/>
        <v>3223</v>
      </c>
    </row>
    <row r="10" spans="1:11" s="494" customFormat="1" ht="12.75" customHeight="1">
      <c r="A10" s="493"/>
      <c r="C10" s="494" t="s">
        <v>371</v>
      </c>
      <c r="D10" s="5">
        <f>997+825</f>
        <v>1822</v>
      </c>
      <c r="E10" s="5">
        <f>306+21</f>
        <v>327</v>
      </c>
      <c r="F10" s="5">
        <f>997+825</f>
        <v>1822</v>
      </c>
      <c r="G10" s="5">
        <f t="shared" si="0"/>
        <v>3971</v>
      </c>
      <c r="H10" s="5">
        <f>997+825</f>
        <v>1822</v>
      </c>
      <c r="I10" s="5">
        <f>306+21</f>
        <v>327</v>
      </c>
      <c r="J10" s="5">
        <f>997+825</f>
        <v>1822</v>
      </c>
      <c r="K10" s="5">
        <f t="shared" si="1"/>
        <v>3971</v>
      </c>
    </row>
    <row r="11" spans="1:11" s="496" customFormat="1" ht="12.75" customHeight="1">
      <c r="A11" s="493"/>
      <c r="B11" s="494"/>
      <c r="C11" s="494" t="s">
        <v>177</v>
      </c>
      <c r="D11" s="5">
        <f>125+13</f>
        <v>138</v>
      </c>
      <c r="E11" s="5">
        <v>275</v>
      </c>
      <c r="F11" s="5"/>
      <c r="G11" s="5">
        <f t="shared" si="0"/>
        <v>413</v>
      </c>
      <c r="H11" s="5">
        <f>125+13</f>
        <v>138</v>
      </c>
      <c r="I11" s="5">
        <v>275</v>
      </c>
      <c r="J11" s="5"/>
      <c r="K11" s="5">
        <f t="shared" si="1"/>
        <v>413</v>
      </c>
    </row>
    <row r="12" spans="1:11" s="496" customFormat="1" ht="12.75" customHeight="1">
      <c r="A12" s="493"/>
      <c r="B12" s="494"/>
      <c r="C12" s="495" t="s">
        <v>372</v>
      </c>
      <c r="D12" s="5">
        <v>387</v>
      </c>
      <c r="E12" s="5"/>
      <c r="F12" s="5"/>
      <c r="G12" s="5">
        <f t="shared" si="0"/>
        <v>387</v>
      </c>
      <c r="H12" s="5">
        <v>387</v>
      </c>
      <c r="I12" s="5"/>
      <c r="J12" s="5"/>
      <c r="K12" s="5">
        <f t="shared" si="1"/>
        <v>387</v>
      </c>
    </row>
    <row r="13" spans="1:11" s="496" customFormat="1" ht="12.75" customHeight="1">
      <c r="A13" s="493"/>
      <c r="B13" s="494"/>
      <c r="C13" s="495" t="s">
        <v>311</v>
      </c>
      <c r="D13" s="5">
        <v>56</v>
      </c>
      <c r="E13" s="5"/>
      <c r="F13" s="5"/>
      <c r="G13" s="5">
        <f t="shared" si="0"/>
        <v>56</v>
      </c>
      <c r="H13" s="5">
        <v>56</v>
      </c>
      <c r="I13" s="5"/>
      <c r="J13" s="5"/>
      <c r="K13" s="5">
        <f t="shared" si="1"/>
        <v>56</v>
      </c>
    </row>
    <row r="14" spans="1:11" s="496" customFormat="1" ht="23.25" customHeight="1">
      <c r="A14" s="493"/>
      <c r="B14" s="492" t="s">
        <v>44</v>
      </c>
      <c r="C14" s="494"/>
      <c r="D14" s="4">
        <f aca="true" t="shared" si="2" ref="D14:K14">+D15</f>
        <v>5968</v>
      </c>
      <c r="E14" s="4">
        <f t="shared" si="2"/>
        <v>939</v>
      </c>
      <c r="F14" s="4">
        <f t="shared" si="2"/>
        <v>5</v>
      </c>
      <c r="G14" s="4">
        <f t="shared" si="2"/>
        <v>6912</v>
      </c>
      <c r="H14" s="4">
        <f t="shared" si="2"/>
        <v>5968</v>
      </c>
      <c r="I14" s="4">
        <f t="shared" si="2"/>
        <v>939</v>
      </c>
      <c r="J14" s="4">
        <f t="shared" si="2"/>
        <v>5</v>
      </c>
      <c r="K14" s="4">
        <f t="shared" si="2"/>
        <v>6912</v>
      </c>
    </row>
    <row r="15" spans="1:11" s="496" customFormat="1" ht="12.75" customHeight="1">
      <c r="A15" s="493"/>
      <c r="B15" s="494"/>
      <c r="C15" s="494" t="s">
        <v>370</v>
      </c>
      <c r="D15" s="5">
        <f>1500+65+3000+1368+35</f>
        <v>5968</v>
      </c>
      <c r="E15" s="5">
        <f>898+41</f>
        <v>939</v>
      </c>
      <c r="F15" s="5">
        <v>5</v>
      </c>
      <c r="G15" s="5">
        <f aca="true" t="shared" si="3" ref="G15:G22">SUM(D15:F15)</f>
        <v>6912</v>
      </c>
      <c r="H15" s="5">
        <f>1500+65+3000+1368+35</f>
        <v>5968</v>
      </c>
      <c r="I15" s="5">
        <f>898+41</f>
        <v>939</v>
      </c>
      <c r="J15" s="5">
        <v>5</v>
      </c>
      <c r="K15" s="5">
        <f aca="true" t="shared" si="4" ref="K15:K22">SUM(H15:J15)</f>
        <v>6912</v>
      </c>
    </row>
    <row r="16" spans="1:11" s="152" customFormat="1" ht="24" customHeight="1">
      <c r="A16" s="491"/>
      <c r="B16" s="18" t="s">
        <v>350</v>
      </c>
      <c r="C16" s="497"/>
      <c r="D16" s="4">
        <f>SUM(D17:D22)</f>
        <v>9596</v>
      </c>
      <c r="E16" s="4">
        <f>SUM(E17:E22)</f>
        <v>343</v>
      </c>
      <c r="F16" s="4">
        <f>SUM(F17:F22)</f>
        <v>231</v>
      </c>
      <c r="G16" s="4">
        <f t="shared" si="3"/>
        <v>10170</v>
      </c>
      <c r="H16" s="4">
        <f>SUM(H17:H22)</f>
        <v>9596</v>
      </c>
      <c r="I16" s="4">
        <f>SUM(I17:I22)</f>
        <v>343</v>
      </c>
      <c r="J16" s="4">
        <f>SUM(J17:J22)</f>
        <v>231</v>
      </c>
      <c r="K16" s="4">
        <f t="shared" si="4"/>
        <v>10170</v>
      </c>
    </row>
    <row r="17" spans="1:11" s="494" customFormat="1" ht="24">
      <c r="A17" s="493"/>
      <c r="C17" s="498" t="s">
        <v>431</v>
      </c>
      <c r="D17" s="5">
        <v>6999</v>
      </c>
      <c r="E17" s="5"/>
      <c r="F17" s="5"/>
      <c r="G17" s="5">
        <f t="shared" si="3"/>
        <v>6999</v>
      </c>
      <c r="H17" s="5">
        <v>6999</v>
      </c>
      <c r="I17" s="5"/>
      <c r="J17" s="5"/>
      <c r="K17" s="5">
        <f t="shared" si="4"/>
        <v>6999</v>
      </c>
    </row>
    <row r="18" spans="1:11" s="494" customFormat="1" ht="12.75">
      <c r="A18" s="493"/>
      <c r="C18" s="499" t="s">
        <v>67</v>
      </c>
      <c r="D18" s="5">
        <v>500</v>
      </c>
      <c r="E18" s="5"/>
      <c r="F18" s="5"/>
      <c r="G18" s="5">
        <f t="shared" si="3"/>
        <v>500</v>
      </c>
      <c r="H18" s="5">
        <v>500</v>
      </c>
      <c r="I18" s="5"/>
      <c r="J18" s="5"/>
      <c r="K18" s="5">
        <f t="shared" si="4"/>
        <v>500</v>
      </c>
    </row>
    <row r="19" spans="1:11" s="494" customFormat="1" ht="12.75">
      <c r="A19" s="493"/>
      <c r="C19" s="499" t="s">
        <v>227</v>
      </c>
      <c r="D19" s="5">
        <v>18</v>
      </c>
      <c r="E19" s="5"/>
      <c r="F19" s="5"/>
      <c r="G19" s="5">
        <f>SUM(D19:F19)</f>
        <v>18</v>
      </c>
      <c r="H19" s="5">
        <v>18</v>
      </c>
      <c r="I19" s="5"/>
      <c r="J19" s="5"/>
      <c r="K19" s="5">
        <f>SUM(H19:J19)</f>
        <v>18</v>
      </c>
    </row>
    <row r="20" spans="1:11" s="496" customFormat="1" ht="12.75">
      <c r="A20" s="493"/>
      <c r="B20" s="494"/>
      <c r="C20" s="494" t="s">
        <v>374</v>
      </c>
      <c r="D20" s="5">
        <v>1866</v>
      </c>
      <c r="E20" s="5"/>
      <c r="F20" s="5"/>
      <c r="G20" s="5">
        <f t="shared" si="3"/>
        <v>1866</v>
      </c>
      <c r="H20" s="5">
        <v>1866</v>
      </c>
      <c r="I20" s="5"/>
      <c r="J20" s="5"/>
      <c r="K20" s="5">
        <f t="shared" si="4"/>
        <v>1866</v>
      </c>
    </row>
    <row r="21" spans="1:11" s="496" customFormat="1" ht="12.75" customHeight="1">
      <c r="A21" s="493"/>
      <c r="B21" s="494"/>
      <c r="C21" s="495" t="s">
        <v>375</v>
      </c>
      <c r="D21" s="5"/>
      <c r="E21" s="5">
        <v>300</v>
      </c>
      <c r="F21" s="5">
        <v>142</v>
      </c>
      <c r="G21" s="5">
        <f t="shared" si="3"/>
        <v>442</v>
      </c>
      <c r="H21" s="5"/>
      <c r="I21" s="5">
        <v>300</v>
      </c>
      <c r="J21" s="5">
        <v>142</v>
      </c>
      <c r="K21" s="5">
        <f t="shared" si="4"/>
        <v>442</v>
      </c>
    </row>
    <row r="22" spans="1:11" s="494" customFormat="1" ht="12.75" customHeight="1">
      <c r="A22" s="500"/>
      <c r="B22" s="501"/>
      <c r="C22" s="494" t="s">
        <v>376</v>
      </c>
      <c r="D22" s="5">
        <f>72+88+53</f>
        <v>213</v>
      </c>
      <c r="E22" s="5">
        <v>43</v>
      </c>
      <c r="F22" s="5">
        <f>16+50+23</f>
        <v>89</v>
      </c>
      <c r="G22" s="5">
        <f t="shared" si="3"/>
        <v>345</v>
      </c>
      <c r="H22" s="5">
        <f>72+88+53</f>
        <v>213</v>
      </c>
      <c r="I22" s="5">
        <v>43</v>
      </c>
      <c r="J22" s="5">
        <f>16+50+23</f>
        <v>89</v>
      </c>
      <c r="K22" s="5">
        <f t="shared" si="4"/>
        <v>345</v>
      </c>
    </row>
    <row r="23" spans="1:11" s="18" customFormat="1" ht="24" customHeight="1">
      <c r="A23" s="502"/>
      <c r="B23" s="503" t="s">
        <v>351</v>
      </c>
      <c r="D23" s="4">
        <f aca="true" t="shared" si="5" ref="D23:K23">SUM(D24:D30)</f>
        <v>5260</v>
      </c>
      <c r="E23" s="4">
        <f t="shared" si="5"/>
        <v>836</v>
      </c>
      <c r="F23" s="4">
        <f t="shared" si="5"/>
        <v>7468</v>
      </c>
      <c r="G23" s="4">
        <f t="shared" si="5"/>
        <v>13564</v>
      </c>
      <c r="H23" s="4">
        <f t="shared" si="5"/>
        <v>5260</v>
      </c>
      <c r="I23" s="4">
        <f t="shared" si="5"/>
        <v>836</v>
      </c>
      <c r="J23" s="4">
        <f t="shared" si="5"/>
        <v>7468</v>
      </c>
      <c r="K23" s="4">
        <f t="shared" si="5"/>
        <v>13564</v>
      </c>
    </row>
    <row r="24" spans="1:11" s="18" customFormat="1" ht="12">
      <c r="A24" s="502"/>
      <c r="B24" s="503"/>
      <c r="C24" s="499" t="s">
        <v>68</v>
      </c>
      <c r="D24" s="98">
        <v>1708</v>
      </c>
      <c r="E24" s="4"/>
      <c r="F24" s="4"/>
      <c r="G24" s="5">
        <f aca="true" t="shared" si="6" ref="G24:G60">SUM(D24:F24)</f>
        <v>1708</v>
      </c>
      <c r="H24" s="98">
        <v>1708</v>
      </c>
      <c r="I24" s="4"/>
      <c r="J24" s="4"/>
      <c r="K24" s="5">
        <f aca="true" t="shared" si="7" ref="K24:K60">SUM(H24:J24)</f>
        <v>1708</v>
      </c>
    </row>
    <row r="25" spans="1:11" s="494" customFormat="1" ht="12.75" customHeight="1">
      <c r="A25" s="500"/>
      <c r="B25" s="504"/>
      <c r="C25" s="494" t="s">
        <v>432</v>
      </c>
      <c r="D25" s="5">
        <v>107</v>
      </c>
      <c r="E25" s="5"/>
      <c r="F25" s="5"/>
      <c r="G25" s="5">
        <f t="shared" si="6"/>
        <v>107</v>
      </c>
      <c r="H25" s="5">
        <v>107</v>
      </c>
      <c r="I25" s="5"/>
      <c r="J25" s="5"/>
      <c r="K25" s="5">
        <f t="shared" si="7"/>
        <v>107</v>
      </c>
    </row>
    <row r="26" spans="1:11" s="494" customFormat="1" ht="12.75" customHeight="1">
      <c r="A26" s="500"/>
      <c r="B26" s="504"/>
      <c r="C26" s="494" t="s">
        <v>433</v>
      </c>
      <c r="D26" s="5">
        <f>800+8+46</f>
        <v>854</v>
      </c>
      <c r="E26" s="5">
        <v>14</v>
      </c>
      <c r="F26" s="5"/>
      <c r="G26" s="5">
        <f t="shared" si="6"/>
        <v>868</v>
      </c>
      <c r="H26" s="5">
        <f>800+8+46</f>
        <v>854</v>
      </c>
      <c r="I26" s="5">
        <v>14</v>
      </c>
      <c r="J26" s="5"/>
      <c r="K26" s="5">
        <f t="shared" si="7"/>
        <v>868</v>
      </c>
    </row>
    <row r="27" spans="1:11" s="494" customFormat="1" ht="12.75" customHeight="1">
      <c r="A27" s="500"/>
      <c r="B27" s="504"/>
      <c r="C27" s="494" t="s">
        <v>61</v>
      </c>
      <c r="D27" s="5">
        <f>305+77+95+14</f>
        <v>491</v>
      </c>
      <c r="E27" s="5">
        <v>100</v>
      </c>
      <c r="F27" s="5">
        <f>1816+4650+114+75</f>
        <v>6655</v>
      </c>
      <c r="G27" s="5">
        <f t="shared" si="6"/>
        <v>7246</v>
      </c>
      <c r="H27" s="5">
        <f>305+77+95+14</f>
        <v>491</v>
      </c>
      <c r="I27" s="5">
        <v>100</v>
      </c>
      <c r="J27" s="5">
        <f>1816+4650+114+75</f>
        <v>6655</v>
      </c>
      <c r="K27" s="5">
        <f t="shared" si="7"/>
        <v>7246</v>
      </c>
    </row>
    <row r="28" spans="1:11" s="496" customFormat="1" ht="24">
      <c r="A28" s="500"/>
      <c r="B28" s="504"/>
      <c r="C28" s="498" t="s">
        <v>434</v>
      </c>
      <c r="D28" s="5">
        <f>440+439+360+12+14+73</f>
        <v>1338</v>
      </c>
      <c r="E28" s="5">
        <v>16</v>
      </c>
      <c r="F28" s="5">
        <v>223</v>
      </c>
      <c r="G28" s="5">
        <f t="shared" si="6"/>
        <v>1577</v>
      </c>
      <c r="H28" s="5">
        <f>440+439+360+12+14+73</f>
        <v>1338</v>
      </c>
      <c r="I28" s="5">
        <v>16</v>
      </c>
      <c r="J28" s="5">
        <v>223</v>
      </c>
      <c r="K28" s="5">
        <f t="shared" si="7"/>
        <v>1577</v>
      </c>
    </row>
    <row r="29" spans="1:11" s="43" customFormat="1" ht="13.5" customHeight="1">
      <c r="A29" s="505"/>
      <c r="B29" s="506"/>
      <c r="C29" s="43" t="s">
        <v>377</v>
      </c>
      <c r="D29" s="507">
        <f>74+101+90+81+16</f>
        <v>362</v>
      </c>
      <c r="E29" s="507">
        <f>350+350+6</f>
        <v>706</v>
      </c>
      <c r="F29" s="507">
        <f>300+290</f>
        <v>590</v>
      </c>
      <c r="G29" s="507">
        <f t="shared" si="6"/>
        <v>1658</v>
      </c>
      <c r="H29" s="507">
        <f>74+101+90+81+16</f>
        <v>362</v>
      </c>
      <c r="I29" s="507">
        <f>350+350+6</f>
        <v>706</v>
      </c>
      <c r="J29" s="507">
        <f>300+290</f>
        <v>590</v>
      </c>
      <c r="K29" s="507">
        <f t="shared" si="7"/>
        <v>1658</v>
      </c>
    </row>
    <row r="30" spans="1:11" s="494" customFormat="1" ht="12.75" customHeight="1">
      <c r="A30" s="500"/>
      <c r="B30" s="504"/>
      <c r="C30" s="495" t="s">
        <v>378</v>
      </c>
      <c r="D30" s="5">
        <v>400</v>
      </c>
      <c r="E30" s="5"/>
      <c r="F30" s="5"/>
      <c r="G30" s="5">
        <f t="shared" si="6"/>
        <v>400</v>
      </c>
      <c r="H30" s="5">
        <v>400</v>
      </c>
      <c r="I30" s="5"/>
      <c r="J30" s="5"/>
      <c r="K30" s="5">
        <f t="shared" si="7"/>
        <v>400</v>
      </c>
    </row>
    <row r="31" spans="1:11" s="18" customFormat="1" ht="24" customHeight="1">
      <c r="A31" s="502"/>
      <c r="B31" s="508" t="s">
        <v>46</v>
      </c>
      <c r="D31" s="4">
        <f>SUM(D32:D40)</f>
        <v>10593</v>
      </c>
      <c r="E31" s="4">
        <f>SUM(E32:E40)</f>
        <v>2312</v>
      </c>
      <c r="F31" s="4">
        <f>SUM(F32:F40)</f>
        <v>0</v>
      </c>
      <c r="G31" s="4">
        <f t="shared" si="6"/>
        <v>12905</v>
      </c>
      <c r="H31" s="4">
        <f>SUM(H32:H40)</f>
        <v>9742</v>
      </c>
      <c r="I31" s="4">
        <f>SUM(I32:I40)</f>
        <v>2312</v>
      </c>
      <c r="J31" s="4">
        <f>SUM(J32:J40)</f>
        <v>0</v>
      </c>
      <c r="K31" s="4">
        <f t="shared" si="7"/>
        <v>12054</v>
      </c>
    </row>
    <row r="32" spans="1:11" s="494" customFormat="1" ht="12.75" customHeight="1">
      <c r="A32" s="500"/>
      <c r="B32" s="504"/>
      <c r="C32" s="494" t="s">
        <v>379</v>
      </c>
      <c r="D32" s="5"/>
      <c r="E32" s="5">
        <v>176</v>
      </c>
      <c r="F32" s="5"/>
      <c r="G32" s="5">
        <f t="shared" si="6"/>
        <v>176</v>
      </c>
      <c r="H32" s="5"/>
      <c r="I32" s="5">
        <v>176</v>
      </c>
      <c r="J32" s="5"/>
      <c r="K32" s="5">
        <f t="shared" si="7"/>
        <v>176</v>
      </c>
    </row>
    <row r="33" spans="1:11" s="494" customFormat="1" ht="24">
      <c r="A33" s="500"/>
      <c r="B33" s="504"/>
      <c r="C33" s="498" t="s">
        <v>435</v>
      </c>
      <c r="D33" s="5">
        <v>3000</v>
      </c>
      <c r="E33" s="5">
        <v>92</v>
      </c>
      <c r="F33" s="5"/>
      <c r="G33" s="5">
        <f t="shared" si="6"/>
        <v>3092</v>
      </c>
      <c r="H33" s="5">
        <v>3000</v>
      </c>
      <c r="I33" s="5">
        <v>92</v>
      </c>
      <c r="J33" s="5"/>
      <c r="K33" s="5">
        <f t="shared" si="7"/>
        <v>3092</v>
      </c>
    </row>
    <row r="34" spans="1:11" s="494" customFormat="1" ht="24">
      <c r="A34" s="500"/>
      <c r="B34" s="504"/>
      <c r="C34" s="498" t="s">
        <v>436</v>
      </c>
      <c r="D34" s="5">
        <v>351</v>
      </c>
      <c r="E34" s="5"/>
      <c r="F34" s="5"/>
      <c r="G34" s="5">
        <f t="shared" si="6"/>
        <v>351</v>
      </c>
      <c r="H34" s="5"/>
      <c r="I34" s="5"/>
      <c r="J34" s="5"/>
      <c r="K34" s="5">
        <f t="shared" si="7"/>
        <v>0</v>
      </c>
    </row>
    <row r="35" spans="1:11" s="494" customFormat="1" ht="24">
      <c r="A35" s="500"/>
      <c r="B35" s="504"/>
      <c r="C35" s="498" t="s">
        <v>437</v>
      </c>
      <c r="D35" s="5">
        <v>51</v>
      </c>
      <c r="E35" s="5"/>
      <c r="F35" s="5"/>
      <c r="G35" s="5">
        <f t="shared" si="6"/>
        <v>51</v>
      </c>
      <c r="H35" s="5">
        <v>51</v>
      </c>
      <c r="I35" s="5"/>
      <c r="J35" s="5"/>
      <c r="K35" s="5">
        <f t="shared" si="7"/>
        <v>51</v>
      </c>
    </row>
    <row r="36" spans="1:11" s="494" customFormat="1" ht="12">
      <c r="A36" s="500"/>
      <c r="B36" s="504"/>
      <c r="C36" s="494" t="s">
        <v>438</v>
      </c>
      <c r="D36" s="5">
        <f>810+4560+15+170+336</f>
        <v>5891</v>
      </c>
      <c r="E36" s="5">
        <v>270</v>
      </c>
      <c r="F36" s="5"/>
      <c r="G36" s="5">
        <f t="shared" si="6"/>
        <v>6161</v>
      </c>
      <c r="H36" s="5">
        <f>810+4560+15+170+336</f>
        <v>5891</v>
      </c>
      <c r="I36" s="5">
        <v>270</v>
      </c>
      <c r="J36" s="5"/>
      <c r="K36" s="5">
        <f t="shared" si="7"/>
        <v>6161</v>
      </c>
    </row>
    <row r="37" spans="1:11" s="494" customFormat="1" ht="12.75" customHeight="1">
      <c r="A37" s="500"/>
      <c r="B37" s="504"/>
      <c r="C37" s="494" t="s">
        <v>439</v>
      </c>
      <c r="D37" s="5">
        <v>800</v>
      </c>
      <c r="E37" s="5"/>
      <c r="F37" s="5"/>
      <c r="G37" s="5">
        <f t="shared" si="6"/>
        <v>800</v>
      </c>
      <c r="H37" s="5">
        <v>800</v>
      </c>
      <c r="I37" s="5"/>
      <c r="J37" s="5"/>
      <c r="K37" s="5">
        <f t="shared" si="7"/>
        <v>800</v>
      </c>
    </row>
    <row r="38" spans="1:11" s="494" customFormat="1" ht="12.75" customHeight="1">
      <c r="A38" s="500"/>
      <c r="B38" s="504"/>
      <c r="C38" s="494" t="s">
        <v>380</v>
      </c>
      <c r="D38" s="5"/>
      <c r="E38" s="5">
        <v>751</v>
      </c>
      <c r="F38" s="5"/>
      <c r="G38" s="5">
        <f t="shared" si="6"/>
        <v>751</v>
      </c>
      <c r="H38" s="5"/>
      <c r="I38" s="5">
        <v>751</v>
      </c>
      <c r="J38" s="5"/>
      <c r="K38" s="5">
        <f t="shared" si="7"/>
        <v>751</v>
      </c>
    </row>
    <row r="39" spans="1:11" s="494" customFormat="1" ht="12.75" customHeight="1">
      <c r="A39" s="500"/>
      <c r="B39" s="504"/>
      <c r="C39" s="494" t="s">
        <v>453</v>
      </c>
      <c r="D39" s="5"/>
      <c r="E39" s="5">
        <v>12</v>
      </c>
      <c r="F39" s="5"/>
      <c r="G39" s="5">
        <f t="shared" si="6"/>
        <v>12</v>
      </c>
      <c r="H39" s="5"/>
      <c r="I39" s="5">
        <v>12</v>
      </c>
      <c r="J39" s="5"/>
      <c r="K39" s="5">
        <f t="shared" si="7"/>
        <v>12</v>
      </c>
    </row>
    <row r="40" spans="1:11" s="494" customFormat="1" ht="12.75" customHeight="1">
      <c r="A40" s="509"/>
      <c r="B40" s="510"/>
      <c r="C40" s="511" t="s">
        <v>373</v>
      </c>
      <c r="D40" s="512">
        <v>500</v>
      </c>
      <c r="E40" s="512">
        <v>1011</v>
      </c>
      <c r="F40" s="512"/>
      <c r="G40" s="512">
        <f t="shared" si="6"/>
        <v>1511</v>
      </c>
      <c r="H40" s="512"/>
      <c r="I40" s="512">
        <v>1011</v>
      </c>
      <c r="J40" s="512"/>
      <c r="K40" s="512">
        <f t="shared" si="7"/>
        <v>1011</v>
      </c>
    </row>
    <row r="41" spans="1:11" s="18" customFormat="1" ht="24" customHeight="1">
      <c r="A41" s="491"/>
      <c r="B41" s="513" t="s">
        <v>352</v>
      </c>
      <c r="D41" s="4">
        <f>SUM(D42:D48)</f>
        <v>19291</v>
      </c>
      <c r="E41" s="4">
        <f>SUM(E42:E48)</f>
        <v>5575</v>
      </c>
      <c r="F41" s="4">
        <f>SUM(F42:F48)</f>
        <v>2077</v>
      </c>
      <c r="G41" s="4">
        <f t="shared" si="6"/>
        <v>26943</v>
      </c>
      <c r="H41" s="4">
        <f>SUM(H42:H48)</f>
        <v>19291</v>
      </c>
      <c r="I41" s="4">
        <f>SUM(I42:I48)</f>
        <v>5575</v>
      </c>
      <c r="J41" s="4">
        <f>SUM(J42:J48)</f>
        <v>2077</v>
      </c>
      <c r="K41" s="4">
        <f t="shared" si="7"/>
        <v>26943</v>
      </c>
    </row>
    <row r="42" spans="1:11" s="496" customFormat="1" ht="12.75" customHeight="1">
      <c r="A42" s="493"/>
      <c r="B42" s="501"/>
      <c r="C42" s="495" t="s">
        <v>440</v>
      </c>
      <c r="D42" s="5">
        <v>249</v>
      </c>
      <c r="E42" s="5"/>
      <c r="F42" s="5">
        <v>126</v>
      </c>
      <c r="G42" s="5">
        <f t="shared" si="6"/>
        <v>375</v>
      </c>
      <c r="H42" s="5">
        <v>249</v>
      </c>
      <c r="I42" s="5"/>
      <c r="J42" s="5">
        <v>126</v>
      </c>
      <c r="K42" s="5">
        <f t="shared" si="7"/>
        <v>375</v>
      </c>
    </row>
    <row r="43" spans="1:11" s="496" customFormat="1" ht="12.75" customHeight="1">
      <c r="A43" s="493"/>
      <c r="B43" s="501"/>
      <c r="C43" s="494" t="s">
        <v>381</v>
      </c>
      <c r="D43" s="5">
        <v>11189</v>
      </c>
      <c r="E43" s="5"/>
      <c r="F43" s="5"/>
      <c r="G43" s="5">
        <f t="shared" si="6"/>
        <v>11189</v>
      </c>
      <c r="H43" s="5">
        <v>11189</v>
      </c>
      <c r="I43" s="5"/>
      <c r="J43" s="5"/>
      <c r="K43" s="5">
        <f t="shared" si="7"/>
        <v>11189</v>
      </c>
    </row>
    <row r="44" spans="1:11" s="496" customFormat="1" ht="12.75" customHeight="1">
      <c r="A44" s="493"/>
      <c r="B44" s="494"/>
      <c r="C44" s="494" t="s">
        <v>382</v>
      </c>
      <c r="D44" s="5">
        <f>3000+89+16</f>
        <v>3105</v>
      </c>
      <c r="E44" s="5">
        <f>468+476+469+470+56+33+75+2114+76+11</f>
        <v>4248</v>
      </c>
      <c r="F44" s="5">
        <f>750+565+391</f>
        <v>1706</v>
      </c>
      <c r="G44" s="5">
        <f t="shared" si="6"/>
        <v>9059</v>
      </c>
      <c r="H44" s="5">
        <f>3000+89+16</f>
        <v>3105</v>
      </c>
      <c r="I44" s="5">
        <f>468+476+469+470+56+33+75+2114+76+11</f>
        <v>4248</v>
      </c>
      <c r="J44" s="5">
        <f>750+565+391</f>
        <v>1706</v>
      </c>
      <c r="K44" s="5">
        <f t="shared" si="7"/>
        <v>9059</v>
      </c>
    </row>
    <row r="45" spans="1:11" s="496" customFormat="1" ht="24">
      <c r="A45" s="493"/>
      <c r="B45" s="494"/>
      <c r="C45" s="498" t="s">
        <v>441</v>
      </c>
      <c r="D45" s="5">
        <f>1050+1444+1156+49+49+1000</f>
        <v>4748</v>
      </c>
      <c r="E45" s="5">
        <v>758</v>
      </c>
      <c r="F45" s="5"/>
      <c r="G45" s="5">
        <f t="shared" si="6"/>
        <v>5506</v>
      </c>
      <c r="H45" s="5">
        <f>1050+1444+1156+49+49+1000</f>
        <v>4748</v>
      </c>
      <c r="I45" s="5">
        <v>758</v>
      </c>
      <c r="J45" s="5"/>
      <c r="K45" s="5">
        <f t="shared" si="7"/>
        <v>5506</v>
      </c>
    </row>
    <row r="46" spans="1:11" s="494" customFormat="1" ht="12.75" customHeight="1">
      <c r="A46" s="493"/>
      <c r="B46" s="514"/>
      <c r="C46" s="498" t="s">
        <v>383</v>
      </c>
      <c r="D46" s="5"/>
      <c r="E46" s="5">
        <v>128</v>
      </c>
      <c r="F46" s="5"/>
      <c r="G46" s="5">
        <f t="shared" si="6"/>
        <v>128</v>
      </c>
      <c r="H46" s="5"/>
      <c r="I46" s="5">
        <v>128</v>
      </c>
      <c r="J46" s="5"/>
      <c r="K46" s="5">
        <f t="shared" si="7"/>
        <v>128</v>
      </c>
    </row>
    <row r="47" spans="1:11" s="494" customFormat="1" ht="12.75" customHeight="1">
      <c r="A47" s="493"/>
      <c r="B47" s="514"/>
      <c r="C47" s="494" t="s">
        <v>384</v>
      </c>
      <c r="D47" s="5"/>
      <c r="E47" s="5">
        <f>46+245</f>
        <v>291</v>
      </c>
      <c r="F47" s="5">
        <v>245</v>
      </c>
      <c r="G47" s="5">
        <f t="shared" si="6"/>
        <v>536</v>
      </c>
      <c r="H47" s="5"/>
      <c r="I47" s="5">
        <f>46+245</f>
        <v>291</v>
      </c>
      <c r="J47" s="5">
        <v>245</v>
      </c>
      <c r="K47" s="5">
        <f t="shared" si="7"/>
        <v>536</v>
      </c>
    </row>
    <row r="48" spans="1:11" s="496" customFormat="1" ht="12.75" customHeight="1">
      <c r="A48" s="493"/>
      <c r="B48" s="516"/>
      <c r="C48" s="494" t="s">
        <v>385</v>
      </c>
      <c r="D48" s="5"/>
      <c r="E48" s="5">
        <v>150</v>
      </c>
      <c r="F48" s="5"/>
      <c r="G48" s="5">
        <f t="shared" si="6"/>
        <v>150</v>
      </c>
      <c r="H48" s="5"/>
      <c r="I48" s="5">
        <v>150</v>
      </c>
      <c r="J48" s="5"/>
      <c r="K48" s="5">
        <f t="shared" si="7"/>
        <v>150</v>
      </c>
    </row>
    <row r="49" spans="1:11" s="42" customFormat="1" ht="24" customHeight="1">
      <c r="A49" s="491"/>
      <c r="B49" s="18" t="s">
        <v>353</v>
      </c>
      <c r="C49" s="18"/>
      <c r="D49" s="4">
        <f>SUM(D50:D53)</f>
        <v>5073</v>
      </c>
      <c r="E49" s="4">
        <f>SUM(E50:E53)</f>
        <v>40660</v>
      </c>
      <c r="F49" s="4">
        <f>SUM(F50:F53)</f>
        <v>1412</v>
      </c>
      <c r="G49" s="4">
        <f t="shared" si="6"/>
        <v>47145</v>
      </c>
      <c r="H49" s="4">
        <f>SUM(H50:H53)</f>
        <v>5073</v>
      </c>
      <c r="I49" s="4">
        <f>SUM(I50:I53)</f>
        <v>40660</v>
      </c>
      <c r="J49" s="4">
        <f>SUM(J50:J53)</f>
        <v>1412</v>
      </c>
      <c r="K49" s="4">
        <f t="shared" si="7"/>
        <v>47145</v>
      </c>
    </row>
    <row r="50" spans="1:11" s="494" customFormat="1" ht="12.75" customHeight="1">
      <c r="A50" s="493"/>
      <c r="C50" s="494" t="s">
        <v>243</v>
      </c>
      <c r="D50" s="5">
        <f>565+8</f>
        <v>573</v>
      </c>
      <c r="E50" s="5">
        <f>1782+289+1000+805+195+740+30+42+128+73</f>
        <v>5084</v>
      </c>
      <c r="F50" s="5"/>
      <c r="G50" s="5">
        <f t="shared" si="6"/>
        <v>5657</v>
      </c>
      <c r="H50" s="5">
        <f>565+8</f>
        <v>573</v>
      </c>
      <c r="I50" s="5">
        <f>1782+289+1000+805+195+740+30+42+128+73</f>
        <v>5084</v>
      </c>
      <c r="J50" s="5"/>
      <c r="K50" s="5">
        <f t="shared" si="7"/>
        <v>5657</v>
      </c>
    </row>
    <row r="51" spans="1:11" s="494" customFormat="1" ht="12.75" customHeight="1">
      <c r="A51" s="500"/>
      <c r="B51" s="501"/>
      <c r="C51" s="495" t="s">
        <v>442</v>
      </c>
      <c r="D51" s="5"/>
      <c r="E51" s="5">
        <f>975+900</f>
        <v>1875</v>
      </c>
      <c r="F51" s="5">
        <v>1412</v>
      </c>
      <c r="G51" s="5">
        <f t="shared" si="6"/>
        <v>3287</v>
      </c>
      <c r="H51" s="5"/>
      <c r="I51" s="5">
        <f>975+900</f>
        <v>1875</v>
      </c>
      <c r="J51" s="5">
        <v>1412</v>
      </c>
      <c r="K51" s="5">
        <f t="shared" si="7"/>
        <v>3287</v>
      </c>
    </row>
    <row r="52" spans="1:11" s="494" customFormat="1" ht="12.75" customHeight="1">
      <c r="A52" s="500"/>
      <c r="B52" s="501"/>
      <c r="C52" s="517" t="s">
        <v>373</v>
      </c>
      <c r="D52" s="5">
        <v>4500</v>
      </c>
      <c r="E52" s="5"/>
      <c r="F52" s="5"/>
      <c r="G52" s="5">
        <f t="shared" si="6"/>
        <v>4500</v>
      </c>
      <c r="H52" s="5">
        <v>4500</v>
      </c>
      <c r="I52" s="5"/>
      <c r="J52" s="5"/>
      <c r="K52" s="5">
        <f t="shared" si="7"/>
        <v>4500</v>
      </c>
    </row>
    <row r="53" spans="1:11" s="494" customFormat="1" ht="12.75" customHeight="1">
      <c r="A53" s="500"/>
      <c r="B53" s="501"/>
      <c r="C53" s="494" t="s">
        <v>244</v>
      </c>
      <c r="D53" s="5"/>
      <c r="E53" s="5">
        <f>7335+18000+4968+3398</f>
        <v>33701</v>
      </c>
      <c r="F53" s="5"/>
      <c r="G53" s="5">
        <f t="shared" si="6"/>
        <v>33701</v>
      </c>
      <c r="H53" s="5"/>
      <c r="I53" s="5">
        <f>7335+18000+4968+3398</f>
        <v>33701</v>
      </c>
      <c r="J53" s="5"/>
      <c r="K53" s="5">
        <f t="shared" si="7"/>
        <v>33701</v>
      </c>
    </row>
    <row r="54" spans="1:11" s="18" customFormat="1" ht="24" customHeight="1">
      <c r="A54" s="502"/>
      <c r="B54" s="513" t="s">
        <v>354</v>
      </c>
      <c r="D54" s="4">
        <f>SUM(D55:D56)</f>
        <v>127</v>
      </c>
      <c r="E54" s="4">
        <f>SUM(E55:E56)</f>
        <v>3417</v>
      </c>
      <c r="F54" s="4">
        <f>SUM(F55:F56)</f>
        <v>0</v>
      </c>
      <c r="G54" s="4">
        <f t="shared" si="6"/>
        <v>3544</v>
      </c>
      <c r="H54" s="4">
        <f>SUM(H55:H56)</f>
        <v>127</v>
      </c>
      <c r="I54" s="4">
        <f>SUM(I55:I56)</f>
        <v>3417</v>
      </c>
      <c r="J54" s="4">
        <f>SUM(J55:J56)</f>
        <v>0</v>
      </c>
      <c r="K54" s="4">
        <f t="shared" si="7"/>
        <v>3544</v>
      </c>
    </row>
    <row r="55" spans="1:11" s="494" customFormat="1" ht="12.75" customHeight="1">
      <c r="A55" s="500"/>
      <c r="B55" s="504"/>
      <c r="C55" s="494" t="s">
        <v>386</v>
      </c>
      <c r="D55" s="5"/>
      <c r="E55" s="5">
        <v>500</v>
      </c>
      <c r="F55" s="5"/>
      <c r="G55" s="5">
        <f t="shared" si="6"/>
        <v>500</v>
      </c>
      <c r="H55" s="5"/>
      <c r="I55" s="5">
        <v>500</v>
      </c>
      <c r="J55" s="5"/>
      <c r="K55" s="5">
        <f t="shared" si="7"/>
        <v>500</v>
      </c>
    </row>
    <row r="56" spans="1:11" s="494" customFormat="1" ht="12">
      <c r="A56" s="500"/>
      <c r="B56" s="504"/>
      <c r="C56" s="495" t="s">
        <v>443</v>
      </c>
      <c r="D56" s="5">
        <f>55+60+12</f>
        <v>127</v>
      </c>
      <c r="E56" s="5">
        <f>531+44+26+90+50+8+44+45+23+550+256+1250</f>
        <v>2917</v>
      </c>
      <c r="F56" s="5"/>
      <c r="G56" s="5">
        <f t="shared" si="6"/>
        <v>3044</v>
      </c>
      <c r="H56" s="5">
        <f>55+60+12</f>
        <v>127</v>
      </c>
      <c r="I56" s="5">
        <f>531+44+26+90+50+8+44+45+23+550+256+1250</f>
        <v>2917</v>
      </c>
      <c r="J56" s="5"/>
      <c r="K56" s="5">
        <f t="shared" si="7"/>
        <v>3044</v>
      </c>
    </row>
    <row r="57" spans="1:11" s="18" customFormat="1" ht="24" customHeight="1">
      <c r="A57" s="502"/>
      <c r="B57" s="513" t="s">
        <v>355</v>
      </c>
      <c r="D57" s="4">
        <f>SUM(D58:D60)</f>
        <v>4214</v>
      </c>
      <c r="E57" s="4">
        <f>SUM(E58:E60)</f>
        <v>1223</v>
      </c>
      <c r="F57" s="4">
        <f>SUM(F58:F60)</f>
        <v>0</v>
      </c>
      <c r="G57" s="4">
        <f t="shared" si="6"/>
        <v>5437</v>
      </c>
      <c r="H57" s="4">
        <f>SUM(H58:H60)</f>
        <v>2214</v>
      </c>
      <c r="I57" s="4">
        <f>SUM(I58:I60)</f>
        <v>1223</v>
      </c>
      <c r="J57" s="4">
        <f>SUM(J58:J60)</f>
        <v>0</v>
      </c>
      <c r="K57" s="4">
        <f t="shared" si="7"/>
        <v>3437</v>
      </c>
    </row>
    <row r="58" spans="1:11" s="496" customFormat="1" ht="12.75" customHeight="1">
      <c r="A58" s="500"/>
      <c r="B58" s="504"/>
      <c r="C58" s="495" t="s">
        <v>387</v>
      </c>
      <c r="D58" s="5">
        <f>2000+75+5+50+9+28</f>
        <v>2167</v>
      </c>
      <c r="E58" s="5">
        <f>132+300+250+4+100+17+157+8+11+36</f>
        <v>1015</v>
      </c>
      <c r="F58" s="5"/>
      <c r="G58" s="5">
        <f t="shared" si="6"/>
        <v>3182</v>
      </c>
      <c r="H58" s="5">
        <f>75+5+50+9+28</f>
        <v>167</v>
      </c>
      <c r="I58" s="5">
        <f>132+300+250+4+100+17+157+8+11+36</f>
        <v>1015</v>
      </c>
      <c r="J58" s="5"/>
      <c r="K58" s="5">
        <f t="shared" si="7"/>
        <v>1182</v>
      </c>
    </row>
    <row r="59" spans="1:11" s="496" customFormat="1" ht="12.75" customHeight="1">
      <c r="A59" s="500"/>
      <c r="B59" s="504"/>
      <c r="C59" s="494" t="s">
        <v>388</v>
      </c>
      <c r="D59" s="5">
        <f>1500+500</f>
        <v>2000</v>
      </c>
      <c r="E59" s="5">
        <v>8</v>
      </c>
      <c r="F59" s="5"/>
      <c r="G59" s="5">
        <f t="shared" si="6"/>
        <v>2008</v>
      </c>
      <c r="H59" s="5">
        <f>1500+500</f>
        <v>2000</v>
      </c>
      <c r="I59" s="5">
        <v>8</v>
      </c>
      <c r="J59" s="5"/>
      <c r="K59" s="5">
        <f t="shared" si="7"/>
        <v>2008</v>
      </c>
    </row>
    <row r="60" spans="1:11" s="496" customFormat="1" ht="12.75" customHeight="1">
      <c r="A60" s="500"/>
      <c r="B60" s="504"/>
      <c r="C60" s="494" t="s">
        <v>389</v>
      </c>
      <c r="D60" s="5">
        <v>47</v>
      </c>
      <c r="E60" s="5">
        <v>200</v>
      </c>
      <c r="F60" s="5"/>
      <c r="G60" s="5">
        <f t="shared" si="6"/>
        <v>247</v>
      </c>
      <c r="H60" s="5">
        <v>47</v>
      </c>
      <c r="I60" s="5">
        <v>200</v>
      </c>
      <c r="J60" s="5"/>
      <c r="K60" s="5">
        <f t="shared" si="7"/>
        <v>247</v>
      </c>
    </row>
    <row r="61" spans="1:11" s="522" customFormat="1" ht="24" customHeight="1">
      <c r="A61" s="518" t="s">
        <v>444</v>
      </c>
      <c r="B61" s="519"/>
      <c r="C61" s="520"/>
      <c r="D61" s="521">
        <f aca="true" t="shared" si="8" ref="D61:K61">D7+D16+D23+D31+D41+D49+D54+D57+D14</f>
        <v>62591</v>
      </c>
      <c r="E61" s="521">
        <f t="shared" si="8"/>
        <v>57927</v>
      </c>
      <c r="F61" s="521">
        <f t="shared" si="8"/>
        <v>14215</v>
      </c>
      <c r="G61" s="521">
        <f t="shared" si="8"/>
        <v>134733</v>
      </c>
      <c r="H61" s="521">
        <f t="shared" si="8"/>
        <v>59740</v>
      </c>
      <c r="I61" s="521">
        <f t="shared" si="8"/>
        <v>57927</v>
      </c>
      <c r="J61" s="521">
        <f t="shared" si="8"/>
        <v>14215</v>
      </c>
      <c r="K61" s="521">
        <f t="shared" si="8"/>
        <v>131882</v>
      </c>
    </row>
    <row r="62" spans="2:11" s="2" customFormat="1" ht="12">
      <c r="B62" s="516"/>
      <c r="C62" s="523"/>
      <c r="D62" s="91"/>
      <c r="E62" s="91"/>
      <c r="F62" s="91"/>
      <c r="G62" s="91"/>
      <c r="H62" s="91"/>
      <c r="I62" s="91"/>
      <c r="J62" s="91"/>
      <c r="K62" s="91"/>
    </row>
    <row r="63" spans="2:11" s="2" customFormat="1" ht="12">
      <c r="B63" s="516"/>
      <c r="C63" s="524"/>
      <c r="D63" s="91"/>
      <c r="E63" s="91"/>
      <c r="F63" s="91"/>
      <c r="G63" s="91"/>
      <c r="H63" s="91"/>
      <c r="I63" s="91"/>
      <c r="J63" s="91"/>
      <c r="K63" s="91"/>
    </row>
    <row r="64" spans="2:11" s="2" customFormat="1" ht="12">
      <c r="B64" s="516"/>
      <c r="C64" s="524"/>
      <c r="D64" s="91"/>
      <c r="E64" s="91"/>
      <c r="F64" s="91"/>
      <c r="G64" s="91"/>
      <c r="H64" s="91"/>
      <c r="I64" s="91"/>
      <c r="J64" s="91"/>
      <c r="K64" s="91"/>
    </row>
    <row r="65" ht="12">
      <c r="C65" s="524"/>
    </row>
    <row r="66" ht="12">
      <c r="C66" s="524"/>
    </row>
    <row r="67" ht="12">
      <c r="C67" s="524"/>
    </row>
  </sheetData>
  <mergeCells count="1">
    <mergeCell ref="H4:K4"/>
  </mergeCells>
  <printOptions horizontalCentered="1"/>
  <pageMargins left="0.7874015748031497" right="0.7874015748031497" top="0.5905511811023623" bottom="0.5905511811023623" header="0.7086614173228347" footer="0.7086614173228347"/>
  <pageSetup firstPageNumber="2" useFirstPageNumber="1" fitToHeight="2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85" zoomScaleNormal="85" workbookViewId="0" topLeftCell="A1">
      <selection activeCell="A1" sqref="A1:D1"/>
    </sheetView>
  </sheetViews>
  <sheetFormatPr defaultColWidth="9.140625" defaultRowHeight="12.75"/>
  <cols>
    <col min="1" max="1" width="1.7109375" style="3" customWidth="1"/>
    <col min="2" max="2" width="52.140625" style="515" customWidth="1"/>
    <col min="3" max="5" width="9.7109375" style="8" customWidth="1"/>
    <col min="6" max="6" width="10.00390625" style="528" customWidth="1"/>
    <col min="7" max="9" width="9.7109375" style="8" customWidth="1"/>
    <col min="10" max="10" width="10.00390625" style="528" customWidth="1"/>
    <col min="11" max="16384" width="9.140625" style="3" customWidth="1"/>
  </cols>
  <sheetData>
    <row r="1" spans="1:10" s="13" customFormat="1" ht="20.25">
      <c r="A1" s="264" t="s">
        <v>451</v>
      </c>
      <c r="B1" s="37"/>
      <c r="C1" s="525"/>
      <c r="D1" s="525"/>
      <c r="E1" s="525"/>
      <c r="F1" s="525"/>
      <c r="G1" s="525"/>
      <c r="H1" s="525"/>
      <c r="I1" s="525"/>
      <c r="J1" s="525"/>
    </row>
    <row r="2" spans="1:10" s="474" customFormat="1" ht="18">
      <c r="A2" s="265" t="s">
        <v>455</v>
      </c>
      <c r="B2" s="470"/>
      <c r="C2" s="472"/>
      <c r="D2" s="472"/>
      <c r="E2" s="472"/>
      <c r="F2" s="473"/>
      <c r="G2" s="472"/>
      <c r="H2" s="472"/>
      <c r="I2" s="472"/>
      <c r="J2" s="473"/>
    </row>
    <row r="3" spans="2:10" s="2" customFormat="1" ht="12">
      <c r="B3" s="516"/>
      <c r="C3" s="7"/>
      <c r="D3" s="7"/>
      <c r="E3" s="7"/>
      <c r="F3" s="7"/>
      <c r="G3" s="7"/>
      <c r="H3" s="7"/>
      <c r="I3" s="7"/>
      <c r="J3" s="30" t="s">
        <v>450</v>
      </c>
    </row>
    <row r="4" spans="1:10" s="9" customFormat="1" ht="12.75">
      <c r="A4" s="477"/>
      <c r="B4" s="478"/>
      <c r="C4" s="403" t="s">
        <v>132</v>
      </c>
      <c r="D4" s="480"/>
      <c r="E4" s="481"/>
      <c r="F4" s="482"/>
      <c r="G4" s="552" t="s">
        <v>133</v>
      </c>
      <c r="H4" s="553"/>
      <c r="I4" s="553"/>
      <c r="J4" s="554"/>
    </row>
    <row r="5" spans="1:10" ht="24">
      <c r="A5" s="483" t="s">
        <v>445</v>
      </c>
      <c r="B5" s="484"/>
      <c r="C5" s="15" t="s">
        <v>346</v>
      </c>
      <c r="D5" s="10"/>
      <c r="E5" s="226"/>
      <c r="F5" s="223" t="s">
        <v>347</v>
      </c>
      <c r="G5" s="15" t="s">
        <v>346</v>
      </c>
      <c r="H5" s="10"/>
      <c r="I5" s="226"/>
      <c r="J5" s="529" t="s">
        <v>347</v>
      </c>
    </row>
    <row r="6" spans="1:10" ht="51">
      <c r="A6" s="11"/>
      <c r="B6" s="486"/>
      <c r="C6" s="488" t="s">
        <v>430</v>
      </c>
      <c r="D6" s="489" t="s">
        <v>348</v>
      </c>
      <c r="E6" s="490" t="s">
        <v>349</v>
      </c>
      <c r="F6" s="225"/>
      <c r="G6" s="488" t="s">
        <v>430</v>
      </c>
      <c r="H6" s="489" t="s">
        <v>348</v>
      </c>
      <c r="I6" s="490" t="s">
        <v>349</v>
      </c>
      <c r="J6" s="225"/>
    </row>
    <row r="7" spans="1:10" s="523" customFormat="1" ht="24" customHeight="1">
      <c r="A7" s="526" t="s">
        <v>357</v>
      </c>
      <c r="B7" s="527"/>
      <c r="C7" s="4">
        <f>SUM(C8:C11)</f>
        <v>566</v>
      </c>
      <c r="D7" s="4">
        <f>SUM(D8:D11)</f>
        <v>56</v>
      </c>
      <c r="E7" s="4">
        <f>SUM(E8:E11)</f>
        <v>0</v>
      </c>
      <c r="F7" s="4">
        <f aca="true" t="shared" si="0" ref="F7:F32">SUM(C7:E7)</f>
        <v>622</v>
      </c>
      <c r="G7" s="4">
        <f>SUM(G8:G11)</f>
        <v>566</v>
      </c>
      <c r="H7" s="4">
        <f>SUM(H8:H11)</f>
        <v>56</v>
      </c>
      <c r="I7" s="4">
        <f>SUM(I8:I11)</f>
        <v>0</v>
      </c>
      <c r="J7" s="4">
        <f aca="true" t="shared" si="1" ref="J7:J32">SUM(G7:I7)</f>
        <v>622</v>
      </c>
    </row>
    <row r="8" spans="1:10" s="496" customFormat="1" ht="12.75" customHeight="1">
      <c r="A8" s="493"/>
      <c r="B8" s="494" t="s">
        <v>391</v>
      </c>
      <c r="C8" s="5">
        <v>3</v>
      </c>
      <c r="D8" s="5"/>
      <c r="E8" s="5"/>
      <c r="F8" s="5">
        <f t="shared" si="0"/>
        <v>3</v>
      </c>
      <c r="G8" s="5">
        <v>3</v>
      </c>
      <c r="H8" s="5"/>
      <c r="I8" s="5"/>
      <c r="J8" s="5">
        <f t="shared" si="1"/>
        <v>3</v>
      </c>
    </row>
    <row r="9" spans="1:10" s="496" customFormat="1" ht="12.75" customHeight="1">
      <c r="A9" s="493"/>
      <c r="B9" s="494" t="s">
        <v>392</v>
      </c>
      <c r="C9" s="5">
        <f>300+48</f>
        <v>348</v>
      </c>
      <c r="D9" s="5">
        <v>39</v>
      </c>
      <c r="E9" s="5"/>
      <c r="F9" s="5">
        <f t="shared" si="0"/>
        <v>387</v>
      </c>
      <c r="G9" s="5">
        <f>300+48</f>
        <v>348</v>
      </c>
      <c r="H9" s="5">
        <v>39</v>
      </c>
      <c r="I9" s="5"/>
      <c r="J9" s="5">
        <f t="shared" si="1"/>
        <v>387</v>
      </c>
    </row>
    <row r="10" spans="1:10" s="496" customFormat="1" ht="12.75" customHeight="1">
      <c r="A10" s="493"/>
      <c r="B10" s="494" t="s">
        <v>393</v>
      </c>
      <c r="C10" s="5">
        <v>215</v>
      </c>
      <c r="D10" s="5"/>
      <c r="E10" s="5"/>
      <c r="F10" s="5">
        <f t="shared" si="0"/>
        <v>215</v>
      </c>
      <c r="G10" s="5">
        <v>215</v>
      </c>
      <c r="H10" s="5"/>
      <c r="I10" s="5"/>
      <c r="J10" s="5">
        <f t="shared" si="1"/>
        <v>215</v>
      </c>
    </row>
    <row r="11" spans="1:10" s="496" customFormat="1" ht="12.75">
      <c r="A11" s="493"/>
      <c r="B11" s="494" t="s">
        <v>394</v>
      </c>
      <c r="C11" s="5"/>
      <c r="D11" s="5">
        <v>17</v>
      </c>
      <c r="E11" s="5"/>
      <c r="F11" s="5">
        <f t="shared" si="0"/>
        <v>17</v>
      </c>
      <c r="G11" s="5"/>
      <c r="H11" s="5">
        <v>17</v>
      </c>
      <c r="I11" s="5"/>
      <c r="J11" s="5">
        <f t="shared" si="1"/>
        <v>17</v>
      </c>
    </row>
    <row r="12" spans="1:10" s="523" customFormat="1" ht="24" customHeight="1">
      <c r="A12" s="526" t="s">
        <v>358</v>
      </c>
      <c r="B12" s="527"/>
      <c r="C12" s="4">
        <f>SUM(C13:C16)</f>
        <v>1522</v>
      </c>
      <c r="D12" s="4">
        <f>SUM(D13:D16)</f>
        <v>248</v>
      </c>
      <c r="E12" s="4">
        <f>SUM(E13:E16)</f>
        <v>100</v>
      </c>
      <c r="F12" s="4">
        <f t="shared" si="0"/>
        <v>1870</v>
      </c>
      <c r="G12" s="4">
        <f>SUM(G13:G16)</f>
        <v>562</v>
      </c>
      <c r="H12" s="4">
        <f>SUM(H13:H16)</f>
        <v>248</v>
      </c>
      <c r="I12" s="4">
        <f>SUM(I13:I16)</f>
        <v>100</v>
      </c>
      <c r="J12" s="4">
        <f t="shared" si="1"/>
        <v>910</v>
      </c>
    </row>
    <row r="13" spans="1:10" s="496" customFormat="1" ht="12.75" customHeight="1">
      <c r="A13" s="493"/>
      <c r="B13" s="495" t="s">
        <v>390</v>
      </c>
      <c r="C13" s="5">
        <v>960</v>
      </c>
      <c r="D13" s="5"/>
      <c r="E13" s="5"/>
      <c r="F13" s="5">
        <f t="shared" si="0"/>
        <v>960</v>
      </c>
      <c r="G13" s="5"/>
      <c r="H13" s="5"/>
      <c r="I13" s="5"/>
      <c r="J13" s="5">
        <f t="shared" si="1"/>
        <v>0</v>
      </c>
    </row>
    <row r="14" spans="1:10" s="496" customFormat="1" ht="12.75" customHeight="1">
      <c r="A14" s="493"/>
      <c r="B14" s="494" t="s">
        <v>98</v>
      </c>
      <c r="C14" s="5"/>
      <c r="D14" s="5">
        <v>9</v>
      </c>
      <c r="E14" s="5"/>
      <c r="F14" s="5">
        <f t="shared" si="0"/>
        <v>9</v>
      </c>
      <c r="G14" s="5"/>
      <c r="H14" s="5">
        <v>9</v>
      </c>
      <c r="I14" s="5"/>
      <c r="J14" s="5">
        <f t="shared" si="1"/>
        <v>9</v>
      </c>
    </row>
    <row r="15" spans="1:10" s="496" customFormat="1" ht="12.75" customHeight="1">
      <c r="A15" s="493"/>
      <c r="B15" s="494" t="s">
        <v>393</v>
      </c>
      <c r="C15" s="5">
        <v>17</v>
      </c>
      <c r="D15" s="5">
        <v>239</v>
      </c>
      <c r="E15" s="5"/>
      <c r="F15" s="5">
        <f t="shared" si="0"/>
        <v>256</v>
      </c>
      <c r="G15" s="5">
        <v>17</v>
      </c>
      <c r="H15" s="5">
        <v>239</v>
      </c>
      <c r="I15" s="5"/>
      <c r="J15" s="5">
        <f t="shared" si="1"/>
        <v>256</v>
      </c>
    </row>
    <row r="16" spans="1:10" s="496" customFormat="1" ht="12.75" customHeight="1">
      <c r="A16" s="493"/>
      <c r="B16" s="494" t="s">
        <v>374</v>
      </c>
      <c r="C16" s="5">
        <f>45+500</f>
        <v>545</v>
      </c>
      <c r="D16" s="5"/>
      <c r="E16" s="5">
        <v>100</v>
      </c>
      <c r="F16" s="5">
        <f t="shared" si="0"/>
        <v>645</v>
      </c>
      <c r="G16" s="5">
        <f>45+500</f>
        <v>545</v>
      </c>
      <c r="H16" s="5"/>
      <c r="I16" s="5">
        <v>100</v>
      </c>
      <c r="J16" s="5">
        <f t="shared" si="1"/>
        <v>645</v>
      </c>
    </row>
    <row r="17" spans="1:10" s="523" customFormat="1" ht="24" customHeight="1">
      <c r="A17" s="526" t="s">
        <v>359</v>
      </c>
      <c r="B17" s="527"/>
      <c r="C17" s="4">
        <f>SUM(C18:C21)</f>
        <v>865</v>
      </c>
      <c r="D17" s="4">
        <f>SUM(D18:D21)</f>
        <v>68</v>
      </c>
      <c r="E17" s="4">
        <f>SUM(E18:E21)</f>
        <v>0</v>
      </c>
      <c r="F17" s="4">
        <f t="shared" si="0"/>
        <v>933</v>
      </c>
      <c r="G17" s="4">
        <f>SUM(G18:G21)</f>
        <v>615</v>
      </c>
      <c r="H17" s="4">
        <f>SUM(H18:H21)</f>
        <v>68</v>
      </c>
      <c r="I17" s="4">
        <f>SUM(I18:I21)</f>
        <v>0</v>
      </c>
      <c r="J17" s="4">
        <f t="shared" si="1"/>
        <v>683</v>
      </c>
    </row>
    <row r="18" spans="1:10" s="496" customFormat="1" ht="12.75" customHeight="1">
      <c r="A18" s="493"/>
      <c r="B18" s="494" t="s">
        <v>98</v>
      </c>
      <c r="C18" s="5"/>
      <c r="D18" s="5">
        <v>60</v>
      </c>
      <c r="E18" s="5"/>
      <c r="F18" s="5">
        <f t="shared" si="0"/>
        <v>60</v>
      </c>
      <c r="G18" s="5"/>
      <c r="H18" s="5">
        <v>60</v>
      </c>
      <c r="I18" s="5"/>
      <c r="J18" s="5">
        <f t="shared" si="1"/>
        <v>60</v>
      </c>
    </row>
    <row r="19" spans="1:10" s="496" customFormat="1" ht="12.75" customHeight="1">
      <c r="A19" s="493"/>
      <c r="B19" s="494" t="s">
        <v>393</v>
      </c>
      <c r="C19" s="5">
        <v>615</v>
      </c>
      <c r="D19" s="5"/>
      <c r="E19" s="5"/>
      <c r="F19" s="5">
        <f t="shared" si="0"/>
        <v>615</v>
      </c>
      <c r="G19" s="5">
        <v>615</v>
      </c>
      <c r="H19" s="5"/>
      <c r="I19" s="5"/>
      <c r="J19" s="5">
        <f t="shared" si="1"/>
        <v>615</v>
      </c>
    </row>
    <row r="20" spans="1:10" s="496" customFormat="1" ht="12.75" customHeight="1">
      <c r="A20" s="493"/>
      <c r="B20" s="494" t="s">
        <v>394</v>
      </c>
      <c r="C20" s="5">
        <v>250</v>
      </c>
      <c r="D20" s="5"/>
      <c r="E20" s="5"/>
      <c r="F20" s="5">
        <f t="shared" si="0"/>
        <v>250</v>
      </c>
      <c r="G20" s="5"/>
      <c r="H20" s="5"/>
      <c r="I20" s="5"/>
      <c r="J20" s="5">
        <f t="shared" si="1"/>
        <v>0</v>
      </c>
    </row>
    <row r="21" spans="1:10" s="496" customFormat="1" ht="12.75" customHeight="1">
      <c r="A21" s="493"/>
      <c r="B21" s="494" t="s">
        <v>378</v>
      </c>
      <c r="C21" s="5"/>
      <c r="D21" s="5">
        <v>8</v>
      </c>
      <c r="E21" s="5"/>
      <c r="F21" s="5">
        <f t="shared" si="0"/>
        <v>8</v>
      </c>
      <c r="G21" s="5"/>
      <c r="H21" s="5">
        <v>8</v>
      </c>
      <c r="I21" s="5"/>
      <c r="J21" s="5">
        <f t="shared" si="1"/>
        <v>8</v>
      </c>
    </row>
    <row r="22" spans="1:10" s="523" customFormat="1" ht="24" customHeight="1">
      <c r="A22" s="526" t="s">
        <v>360</v>
      </c>
      <c r="B22" s="527"/>
      <c r="C22" s="4">
        <f>SUM(C23:C25)</f>
        <v>320</v>
      </c>
      <c r="D22" s="4">
        <f>SUM(D23:D25)</f>
        <v>0</v>
      </c>
      <c r="E22" s="4">
        <f>SUM(E23:E25)</f>
        <v>0</v>
      </c>
      <c r="F22" s="4">
        <f t="shared" si="0"/>
        <v>320</v>
      </c>
      <c r="G22" s="4">
        <f>SUM(G23:G25)</f>
        <v>320</v>
      </c>
      <c r="H22" s="4">
        <f>SUM(H23:H25)</f>
        <v>0</v>
      </c>
      <c r="I22" s="4">
        <f>SUM(I23:I25)</f>
        <v>0</v>
      </c>
      <c r="J22" s="4">
        <f t="shared" si="1"/>
        <v>320</v>
      </c>
    </row>
    <row r="23" spans="1:10" s="496" customFormat="1" ht="12.75" customHeight="1">
      <c r="A23" s="493"/>
      <c r="B23" s="494" t="s">
        <v>392</v>
      </c>
      <c r="C23" s="5">
        <v>300</v>
      </c>
      <c r="D23" s="5"/>
      <c r="E23" s="5"/>
      <c r="F23" s="5">
        <f t="shared" si="0"/>
        <v>300</v>
      </c>
      <c r="G23" s="5">
        <v>300</v>
      </c>
      <c r="H23" s="5"/>
      <c r="I23" s="5"/>
      <c r="J23" s="5">
        <f t="shared" si="1"/>
        <v>300</v>
      </c>
    </row>
    <row r="24" spans="1:10" s="496" customFormat="1" ht="12.75" customHeight="1">
      <c r="A24" s="493"/>
      <c r="B24" s="494" t="s">
        <v>393</v>
      </c>
      <c r="C24" s="5">
        <v>2</v>
      </c>
      <c r="D24" s="5"/>
      <c r="E24" s="5"/>
      <c r="F24" s="5">
        <f t="shared" si="0"/>
        <v>2</v>
      </c>
      <c r="G24" s="5">
        <v>2</v>
      </c>
      <c r="H24" s="5"/>
      <c r="I24" s="5"/>
      <c r="J24" s="5">
        <f t="shared" si="1"/>
        <v>2</v>
      </c>
    </row>
    <row r="25" spans="1:10" s="496" customFormat="1" ht="24">
      <c r="A25" s="493"/>
      <c r="B25" s="531" t="s">
        <v>436</v>
      </c>
      <c r="C25" s="530">
        <v>18</v>
      </c>
      <c r="D25" s="5"/>
      <c r="E25" s="5"/>
      <c r="F25" s="5">
        <f t="shared" si="0"/>
        <v>18</v>
      </c>
      <c r="G25" s="5">
        <v>18</v>
      </c>
      <c r="H25" s="5"/>
      <c r="I25" s="5"/>
      <c r="J25" s="5">
        <f t="shared" si="1"/>
        <v>18</v>
      </c>
    </row>
    <row r="26" spans="1:10" s="523" customFormat="1" ht="24" customHeight="1">
      <c r="A26" s="526" t="s">
        <v>361</v>
      </c>
      <c r="B26" s="527"/>
      <c r="C26" s="4">
        <f>SUM(C27:C29)</f>
        <v>730</v>
      </c>
      <c r="D26" s="4">
        <f>SUM(D27:D29)</f>
        <v>49</v>
      </c>
      <c r="E26" s="4">
        <f>SUM(E27:E29)</f>
        <v>0</v>
      </c>
      <c r="F26" s="4">
        <f t="shared" si="0"/>
        <v>779</v>
      </c>
      <c r="G26" s="4">
        <f>SUM(G27:G29)</f>
        <v>520</v>
      </c>
      <c r="H26" s="4">
        <f>SUM(H27:H29)</f>
        <v>49</v>
      </c>
      <c r="I26" s="4">
        <f>SUM(I27:I29)</f>
        <v>0</v>
      </c>
      <c r="J26" s="4">
        <f t="shared" si="1"/>
        <v>569</v>
      </c>
    </row>
    <row r="27" spans="1:10" s="496" customFormat="1" ht="12.75" customHeight="1">
      <c r="A27" s="493"/>
      <c r="B27" s="495" t="s">
        <v>390</v>
      </c>
      <c r="C27" s="5">
        <v>210</v>
      </c>
      <c r="D27" s="5"/>
      <c r="E27" s="5"/>
      <c r="F27" s="5">
        <f t="shared" si="0"/>
        <v>210</v>
      </c>
      <c r="G27" s="5"/>
      <c r="H27" s="5"/>
      <c r="I27" s="5"/>
      <c r="J27" s="5">
        <f t="shared" si="1"/>
        <v>0</v>
      </c>
    </row>
    <row r="28" spans="1:10" s="496" customFormat="1" ht="12.75" customHeight="1">
      <c r="A28" s="493"/>
      <c r="B28" s="494" t="s">
        <v>392</v>
      </c>
      <c r="C28" s="5">
        <v>520</v>
      </c>
      <c r="D28" s="5"/>
      <c r="E28" s="5"/>
      <c r="F28" s="5">
        <f t="shared" si="0"/>
        <v>520</v>
      </c>
      <c r="G28" s="5">
        <v>520</v>
      </c>
      <c r="H28" s="5"/>
      <c r="I28" s="5"/>
      <c r="J28" s="5">
        <f t="shared" si="1"/>
        <v>520</v>
      </c>
    </row>
    <row r="29" spans="1:10" s="496" customFormat="1" ht="12.75" customHeight="1">
      <c r="A29" s="493"/>
      <c r="B29" s="494" t="s">
        <v>393</v>
      </c>
      <c r="C29" s="5"/>
      <c r="D29" s="5">
        <v>49</v>
      </c>
      <c r="E29" s="5"/>
      <c r="F29" s="5">
        <f t="shared" si="0"/>
        <v>49</v>
      </c>
      <c r="G29" s="5"/>
      <c r="H29" s="5">
        <v>49</v>
      </c>
      <c r="I29" s="5"/>
      <c r="J29" s="5">
        <f t="shared" si="1"/>
        <v>49</v>
      </c>
    </row>
    <row r="30" spans="1:10" s="523" customFormat="1" ht="24" customHeight="1">
      <c r="A30" s="526" t="s">
        <v>362</v>
      </c>
      <c r="B30" s="527"/>
      <c r="C30" s="4">
        <f>SUM(C31:C33)</f>
        <v>84</v>
      </c>
      <c r="D30" s="4">
        <f>SUM(D31:D33)</f>
        <v>63</v>
      </c>
      <c r="E30" s="4">
        <f>SUM(E31:E33)</f>
        <v>0</v>
      </c>
      <c r="F30" s="4">
        <f t="shared" si="0"/>
        <v>147</v>
      </c>
      <c r="G30" s="4">
        <f>SUM(G31:G33)</f>
        <v>84</v>
      </c>
      <c r="H30" s="4">
        <f>SUM(H31:H33)</f>
        <v>63</v>
      </c>
      <c r="I30" s="4">
        <f>SUM(I31:I33)</f>
        <v>0</v>
      </c>
      <c r="J30" s="4">
        <f t="shared" si="1"/>
        <v>147</v>
      </c>
    </row>
    <row r="31" spans="1:10" s="496" customFormat="1" ht="12.75" customHeight="1">
      <c r="A31" s="493"/>
      <c r="B31" s="494" t="s">
        <v>98</v>
      </c>
      <c r="C31" s="5"/>
      <c r="D31" s="5">
        <v>63</v>
      </c>
      <c r="E31" s="5"/>
      <c r="F31" s="5">
        <f t="shared" si="0"/>
        <v>63</v>
      </c>
      <c r="G31" s="5"/>
      <c r="H31" s="5">
        <v>63</v>
      </c>
      <c r="I31" s="5"/>
      <c r="J31" s="5">
        <f t="shared" si="1"/>
        <v>63</v>
      </c>
    </row>
    <row r="32" spans="1:10" s="496" customFormat="1" ht="12.75" customHeight="1">
      <c r="A32" s="493"/>
      <c r="B32" s="494" t="s">
        <v>393</v>
      </c>
      <c r="C32" s="5">
        <v>43</v>
      </c>
      <c r="D32" s="5"/>
      <c r="E32" s="5"/>
      <c r="F32" s="5">
        <f t="shared" si="0"/>
        <v>43</v>
      </c>
      <c r="G32" s="5">
        <v>43</v>
      </c>
      <c r="H32" s="5"/>
      <c r="I32" s="5"/>
      <c r="J32" s="5">
        <f t="shared" si="1"/>
        <v>43</v>
      </c>
    </row>
    <row r="33" spans="1:10" s="496" customFormat="1" ht="12.75" customHeight="1">
      <c r="A33" s="493"/>
      <c r="B33" s="494" t="s">
        <v>394</v>
      </c>
      <c r="C33" s="5">
        <v>41</v>
      </c>
      <c r="D33" s="5"/>
      <c r="E33" s="5"/>
      <c r="F33" s="5">
        <f aca="true" t="shared" si="2" ref="F33:F60">SUM(C33:E33)</f>
        <v>41</v>
      </c>
      <c r="G33" s="5">
        <v>41</v>
      </c>
      <c r="H33" s="5"/>
      <c r="I33" s="5"/>
      <c r="J33" s="5">
        <f aca="true" t="shared" si="3" ref="J33:J51">SUM(G33:I33)</f>
        <v>41</v>
      </c>
    </row>
    <row r="34" spans="1:10" s="523" customFormat="1" ht="24" customHeight="1">
      <c r="A34" s="526" t="s">
        <v>363</v>
      </c>
      <c r="B34" s="527"/>
      <c r="C34" s="4">
        <f>SUM(C35:C37)</f>
        <v>4596</v>
      </c>
      <c r="D34" s="4">
        <f>SUM(D35:D37)</f>
        <v>337</v>
      </c>
      <c r="E34" s="4">
        <f>SUM(E35:E37)</f>
        <v>0</v>
      </c>
      <c r="F34" s="4">
        <f t="shared" si="2"/>
        <v>4933</v>
      </c>
      <c r="G34" s="4">
        <f>SUM(G35:G37)</f>
        <v>4596</v>
      </c>
      <c r="H34" s="4">
        <f>SUM(H35:H37)</f>
        <v>337</v>
      </c>
      <c r="I34" s="4">
        <f>SUM(I35:I37)</f>
        <v>0</v>
      </c>
      <c r="J34" s="4">
        <f t="shared" si="3"/>
        <v>4933</v>
      </c>
    </row>
    <row r="35" spans="1:10" s="496" customFormat="1" ht="12.75" customHeight="1">
      <c r="A35" s="493"/>
      <c r="B35" s="494" t="s">
        <v>98</v>
      </c>
      <c r="C35" s="5">
        <v>96</v>
      </c>
      <c r="D35" s="5">
        <f>106+36+180</f>
        <v>322</v>
      </c>
      <c r="E35" s="5"/>
      <c r="F35" s="5">
        <f t="shared" si="2"/>
        <v>418</v>
      </c>
      <c r="G35" s="5">
        <v>96</v>
      </c>
      <c r="H35" s="5">
        <f>106+36+180</f>
        <v>322</v>
      </c>
      <c r="I35" s="5"/>
      <c r="J35" s="5">
        <f t="shared" si="3"/>
        <v>418</v>
      </c>
    </row>
    <row r="36" spans="1:10" s="496" customFormat="1" ht="12.75" customHeight="1">
      <c r="A36" s="493"/>
      <c r="B36" s="494" t="s">
        <v>392</v>
      </c>
      <c r="C36" s="5">
        <f>3000+1200</f>
        <v>4200</v>
      </c>
      <c r="D36" s="5">
        <v>15</v>
      </c>
      <c r="E36" s="5"/>
      <c r="F36" s="5">
        <f t="shared" si="2"/>
        <v>4215</v>
      </c>
      <c r="G36" s="5">
        <f>3000+1200</f>
        <v>4200</v>
      </c>
      <c r="H36" s="5">
        <v>15</v>
      </c>
      <c r="I36" s="5"/>
      <c r="J36" s="5">
        <f t="shared" si="3"/>
        <v>4215</v>
      </c>
    </row>
    <row r="37" spans="1:10" s="496" customFormat="1" ht="12.75" customHeight="1">
      <c r="A37" s="493"/>
      <c r="B37" s="494" t="s">
        <v>373</v>
      </c>
      <c r="C37" s="5">
        <v>300</v>
      </c>
      <c r="D37" s="5"/>
      <c r="E37" s="5"/>
      <c r="F37" s="5">
        <f t="shared" si="2"/>
        <v>300</v>
      </c>
      <c r="G37" s="5">
        <v>300</v>
      </c>
      <c r="H37" s="5"/>
      <c r="I37" s="5"/>
      <c r="J37" s="5">
        <f t="shared" si="3"/>
        <v>300</v>
      </c>
    </row>
    <row r="38" spans="1:10" s="523" customFormat="1" ht="24" customHeight="1">
      <c r="A38" s="526" t="s">
        <v>364</v>
      </c>
      <c r="B38" s="527"/>
      <c r="C38" s="4">
        <f>SUM(C39:C40)</f>
        <v>646</v>
      </c>
      <c r="D38" s="4">
        <f>SUM(D39:D40)</f>
        <v>0</v>
      </c>
      <c r="E38" s="4">
        <f>SUM(E39:E40)</f>
        <v>0</v>
      </c>
      <c r="F38" s="4">
        <f t="shared" si="2"/>
        <v>646</v>
      </c>
      <c r="G38" s="4">
        <f>SUM(G39:G40)</f>
        <v>646</v>
      </c>
      <c r="H38" s="4">
        <f>SUM(H39:H40)</f>
        <v>0</v>
      </c>
      <c r="I38" s="4">
        <f>SUM(I39:I40)</f>
        <v>0</v>
      </c>
      <c r="J38" s="4">
        <f t="shared" si="3"/>
        <v>646</v>
      </c>
    </row>
    <row r="39" spans="1:10" s="496" customFormat="1" ht="12.75" customHeight="1">
      <c r="A39" s="493"/>
      <c r="B39" s="495" t="s">
        <v>390</v>
      </c>
      <c r="C39" s="5">
        <v>46</v>
      </c>
      <c r="D39" s="5"/>
      <c r="E39" s="5"/>
      <c r="F39" s="5">
        <f t="shared" si="2"/>
        <v>46</v>
      </c>
      <c r="G39" s="5">
        <v>46</v>
      </c>
      <c r="H39" s="5"/>
      <c r="I39" s="5"/>
      <c r="J39" s="5">
        <f t="shared" si="3"/>
        <v>46</v>
      </c>
    </row>
    <row r="40" spans="1:10" s="496" customFormat="1" ht="12.75" customHeight="1">
      <c r="A40" s="493"/>
      <c r="B40" s="494" t="s">
        <v>392</v>
      </c>
      <c r="C40" s="5">
        <v>600</v>
      </c>
      <c r="D40" s="5"/>
      <c r="E40" s="5"/>
      <c r="F40" s="5">
        <f t="shared" si="2"/>
        <v>600</v>
      </c>
      <c r="G40" s="5">
        <v>600</v>
      </c>
      <c r="H40" s="5"/>
      <c r="I40" s="5"/>
      <c r="J40" s="5">
        <f t="shared" si="3"/>
        <v>600</v>
      </c>
    </row>
    <row r="41" spans="1:10" s="523" customFormat="1" ht="24" customHeight="1">
      <c r="A41" s="526" t="s">
        <v>365</v>
      </c>
      <c r="B41" s="527"/>
      <c r="C41" s="4">
        <f>SUM(C42:C46)</f>
        <v>1296</v>
      </c>
      <c r="D41" s="4">
        <f>SUM(D42:D46)</f>
        <v>0</v>
      </c>
      <c r="E41" s="4">
        <f>SUM(E42:E46)</f>
        <v>0</v>
      </c>
      <c r="F41" s="4">
        <f t="shared" si="2"/>
        <v>1296</v>
      </c>
      <c r="G41" s="4">
        <f>SUM(G42:G46)</f>
        <v>1296</v>
      </c>
      <c r="H41" s="4">
        <f>SUM(H42:H46)</f>
        <v>0</v>
      </c>
      <c r="I41" s="4">
        <f>SUM(I42:I46)</f>
        <v>0</v>
      </c>
      <c r="J41" s="4">
        <f t="shared" si="3"/>
        <v>1296</v>
      </c>
    </row>
    <row r="42" spans="1:10" s="496" customFormat="1" ht="12.75" customHeight="1">
      <c r="A42" s="493"/>
      <c r="B42" s="494" t="s">
        <v>391</v>
      </c>
      <c r="C42" s="5">
        <v>350</v>
      </c>
      <c r="D42" s="5"/>
      <c r="E42" s="5"/>
      <c r="F42" s="5">
        <f t="shared" si="2"/>
        <v>350</v>
      </c>
      <c r="G42" s="5">
        <v>350</v>
      </c>
      <c r="H42" s="5"/>
      <c r="I42" s="5"/>
      <c r="J42" s="5">
        <f t="shared" si="3"/>
        <v>350</v>
      </c>
    </row>
    <row r="43" spans="1:10" s="496" customFormat="1" ht="12.75" customHeight="1">
      <c r="A43" s="493"/>
      <c r="B43" s="494" t="s">
        <v>392</v>
      </c>
      <c r="C43" s="5">
        <v>500</v>
      </c>
      <c r="D43" s="5"/>
      <c r="E43" s="5"/>
      <c r="F43" s="5">
        <f t="shared" si="2"/>
        <v>500</v>
      </c>
      <c r="G43" s="5">
        <v>500</v>
      </c>
      <c r="H43" s="5"/>
      <c r="I43" s="5"/>
      <c r="J43" s="5">
        <f t="shared" si="3"/>
        <v>500</v>
      </c>
    </row>
    <row r="44" spans="1:10" s="496" customFormat="1" ht="12.75" customHeight="1">
      <c r="A44" s="493"/>
      <c r="B44" s="494" t="s">
        <v>393</v>
      </c>
      <c r="C44" s="5">
        <v>55</v>
      </c>
      <c r="D44" s="5"/>
      <c r="E44" s="5"/>
      <c r="F44" s="5">
        <f t="shared" si="2"/>
        <v>55</v>
      </c>
      <c r="G44" s="5">
        <v>55</v>
      </c>
      <c r="H44" s="5"/>
      <c r="I44" s="5"/>
      <c r="J44" s="5">
        <f t="shared" si="3"/>
        <v>55</v>
      </c>
    </row>
    <row r="45" spans="1:10" s="496" customFormat="1" ht="12.75" customHeight="1">
      <c r="A45" s="493"/>
      <c r="B45" s="494" t="s">
        <v>394</v>
      </c>
      <c r="C45" s="5">
        <v>41</v>
      </c>
      <c r="D45" s="5"/>
      <c r="E45" s="5"/>
      <c r="F45" s="5">
        <f t="shared" si="2"/>
        <v>41</v>
      </c>
      <c r="G45" s="5">
        <v>41</v>
      </c>
      <c r="H45" s="5"/>
      <c r="I45" s="5"/>
      <c r="J45" s="5">
        <f t="shared" si="3"/>
        <v>41</v>
      </c>
    </row>
    <row r="46" spans="1:10" s="496" customFormat="1" ht="12.75" customHeight="1">
      <c r="A46" s="532"/>
      <c r="B46" s="511" t="s">
        <v>374</v>
      </c>
      <c r="C46" s="512">
        <v>350</v>
      </c>
      <c r="D46" s="512"/>
      <c r="E46" s="512"/>
      <c r="F46" s="512">
        <f t="shared" si="2"/>
        <v>350</v>
      </c>
      <c r="G46" s="512">
        <v>350</v>
      </c>
      <c r="H46" s="512"/>
      <c r="I46" s="512"/>
      <c r="J46" s="512">
        <f t="shared" si="3"/>
        <v>350</v>
      </c>
    </row>
    <row r="47" spans="1:10" s="523" customFormat="1" ht="24" customHeight="1">
      <c r="A47" s="526" t="s">
        <v>78</v>
      </c>
      <c r="B47" s="527"/>
      <c r="C47" s="4">
        <f>SUM(C48:C48)</f>
        <v>144</v>
      </c>
      <c r="D47" s="4">
        <f>SUM(D48:D48)</f>
        <v>64</v>
      </c>
      <c r="E47" s="4">
        <f>SUM(E48:E48)</f>
        <v>0</v>
      </c>
      <c r="F47" s="4">
        <f t="shared" si="2"/>
        <v>208</v>
      </c>
      <c r="G47" s="4">
        <f>SUM(G48:G48)</f>
        <v>144</v>
      </c>
      <c r="H47" s="4">
        <f>SUM(H48:H48)</f>
        <v>64</v>
      </c>
      <c r="I47" s="4">
        <f>SUM(I48:I48)</f>
        <v>0</v>
      </c>
      <c r="J47" s="4">
        <f t="shared" si="3"/>
        <v>208</v>
      </c>
    </row>
    <row r="48" spans="1:10" s="496" customFormat="1" ht="12.75" customHeight="1">
      <c r="A48" s="493"/>
      <c r="B48" s="494" t="s">
        <v>446</v>
      </c>
      <c r="C48" s="5">
        <f>121+23</f>
        <v>144</v>
      </c>
      <c r="D48" s="5">
        <f>18+46</f>
        <v>64</v>
      </c>
      <c r="E48" s="5"/>
      <c r="F48" s="5">
        <f t="shared" si="2"/>
        <v>208</v>
      </c>
      <c r="G48" s="5">
        <v>144</v>
      </c>
      <c r="H48" s="5">
        <v>64</v>
      </c>
      <c r="I48" s="5"/>
      <c r="J48" s="5">
        <f t="shared" si="3"/>
        <v>208</v>
      </c>
    </row>
    <row r="49" spans="1:10" s="523" customFormat="1" ht="24" customHeight="1">
      <c r="A49" s="526" t="s">
        <v>447</v>
      </c>
      <c r="B49" s="527"/>
      <c r="C49" s="4">
        <f>SUM(C50:C60)</f>
        <v>10769</v>
      </c>
      <c r="D49" s="4">
        <f>SUM(D50:D60)</f>
        <v>885</v>
      </c>
      <c r="E49" s="4">
        <f>SUM(E50:E60)</f>
        <v>100</v>
      </c>
      <c r="F49" s="4">
        <f t="shared" si="2"/>
        <v>11754</v>
      </c>
      <c r="G49" s="4">
        <f>SUM(G50:G60)</f>
        <v>9349</v>
      </c>
      <c r="H49" s="4">
        <f>SUM(H50:H60)</f>
        <v>885</v>
      </c>
      <c r="I49" s="4">
        <f>SUM(I50:I60)</f>
        <v>100</v>
      </c>
      <c r="J49" s="4">
        <f t="shared" si="3"/>
        <v>10334</v>
      </c>
    </row>
    <row r="50" spans="1:10" s="496" customFormat="1" ht="12.75" customHeight="1">
      <c r="A50" s="493"/>
      <c r="B50" s="495" t="s">
        <v>390</v>
      </c>
      <c r="C50" s="5">
        <f>C13+C27+C39</f>
        <v>1216</v>
      </c>
      <c r="D50" s="5">
        <f>D13+D27+D39</f>
        <v>0</v>
      </c>
      <c r="E50" s="5">
        <f>E13+E27+E39</f>
        <v>0</v>
      </c>
      <c r="F50" s="5">
        <f t="shared" si="2"/>
        <v>1216</v>
      </c>
      <c r="G50" s="5">
        <f>G13+G27+G39</f>
        <v>46</v>
      </c>
      <c r="H50" s="5">
        <f>H13+H27+H39</f>
        <v>0</v>
      </c>
      <c r="I50" s="5">
        <f>I13+I27+I39</f>
        <v>0</v>
      </c>
      <c r="J50" s="5">
        <f t="shared" si="3"/>
        <v>46</v>
      </c>
    </row>
    <row r="51" spans="1:10" s="496" customFormat="1" ht="12.75" customHeight="1">
      <c r="A51" s="493"/>
      <c r="B51" s="494" t="s">
        <v>391</v>
      </c>
      <c r="C51" s="5">
        <f>C8+C42</f>
        <v>353</v>
      </c>
      <c r="D51" s="5">
        <f>D8+D42</f>
        <v>0</v>
      </c>
      <c r="E51" s="5">
        <f>E8+E42</f>
        <v>0</v>
      </c>
      <c r="F51" s="5">
        <f t="shared" si="2"/>
        <v>353</v>
      </c>
      <c r="G51" s="5">
        <f>G8+G42</f>
        <v>353</v>
      </c>
      <c r="H51" s="5">
        <f>H8+H42</f>
        <v>0</v>
      </c>
      <c r="I51" s="5">
        <f>I8+I42</f>
        <v>0</v>
      </c>
      <c r="J51" s="5">
        <f t="shared" si="3"/>
        <v>353</v>
      </c>
    </row>
    <row r="52" spans="1:10" s="496" customFormat="1" ht="12.75" customHeight="1">
      <c r="A52" s="493"/>
      <c r="B52" s="494" t="s">
        <v>98</v>
      </c>
      <c r="C52" s="5">
        <f>C14+C18+C31+C35</f>
        <v>96</v>
      </c>
      <c r="D52" s="5">
        <f>D14+D18+D31+D35</f>
        <v>454</v>
      </c>
      <c r="E52" s="5">
        <f>E14+E18+E31+E35</f>
        <v>0</v>
      </c>
      <c r="F52" s="5">
        <f t="shared" si="2"/>
        <v>550</v>
      </c>
      <c r="G52" s="5">
        <f>G14+G18+G31+G35</f>
        <v>96</v>
      </c>
      <c r="H52" s="5">
        <f>H14+H18+H31+H35</f>
        <v>454</v>
      </c>
      <c r="I52" s="5">
        <f>I14+I18+I31+I35</f>
        <v>0</v>
      </c>
      <c r="J52" s="5">
        <f>J14+J31</f>
        <v>72</v>
      </c>
    </row>
    <row r="53" spans="1:10" s="496" customFormat="1" ht="12.75" customHeight="1">
      <c r="A53" s="493"/>
      <c r="B53" s="494" t="s">
        <v>392</v>
      </c>
      <c r="C53" s="5">
        <f>C9+C23+C28+C36+C40+C43</f>
        <v>6468</v>
      </c>
      <c r="D53" s="5">
        <f>D9+D23+D28+D36+D40+D43</f>
        <v>54</v>
      </c>
      <c r="E53" s="5">
        <f>E9+E23+E28+E36+E40+E43</f>
        <v>0</v>
      </c>
      <c r="F53" s="5">
        <f t="shared" si="2"/>
        <v>6522</v>
      </c>
      <c r="G53" s="5">
        <f>G9+G23+G28+G36+G40+G43</f>
        <v>6468</v>
      </c>
      <c r="H53" s="5">
        <f>H9+H23+H28+H36+H40+H43</f>
        <v>54</v>
      </c>
      <c r="I53" s="5">
        <f>I9+I23+I28+I36+I40+I43</f>
        <v>0</v>
      </c>
      <c r="J53" s="5">
        <f aca="true" t="shared" si="4" ref="J53:J60">SUM(G53:I53)</f>
        <v>6522</v>
      </c>
    </row>
    <row r="54" spans="1:10" s="496" customFormat="1" ht="12.75" customHeight="1">
      <c r="A54" s="493"/>
      <c r="B54" s="494" t="s">
        <v>393</v>
      </c>
      <c r="C54" s="5">
        <f>C10+C15+C19+C24+C29+C32+C44</f>
        <v>947</v>
      </c>
      <c r="D54" s="5">
        <f>D10+D15+D19+D24+D29+D32+D44</f>
        <v>288</v>
      </c>
      <c r="E54" s="5">
        <f>E10+E15+E19+E24+E29+E32+E44</f>
        <v>0</v>
      </c>
      <c r="F54" s="5">
        <f t="shared" si="2"/>
        <v>1235</v>
      </c>
      <c r="G54" s="5">
        <f>G10+G15+G19+G24+G29+G32+G44</f>
        <v>947</v>
      </c>
      <c r="H54" s="5">
        <f>H10+H15+H19+H24+H29+H32+H44</f>
        <v>288</v>
      </c>
      <c r="I54" s="5">
        <f>I10+I15+I19+I24+I29+I32+I44</f>
        <v>0</v>
      </c>
      <c r="J54" s="5">
        <f t="shared" si="4"/>
        <v>1235</v>
      </c>
    </row>
    <row r="55" spans="1:10" s="496" customFormat="1" ht="12.75" customHeight="1">
      <c r="A55" s="493"/>
      <c r="B55" s="494" t="s">
        <v>394</v>
      </c>
      <c r="C55" s="5">
        <f>C11+C20+C33+C45</f>
        <v>332</v>
      </c>
      <c r="D55" s="5">
        <f>D11+D20+D33+D45</f>
        <v>17</v>
      </c>
      <c r="E55" s="5">
        <f>E11+E20+E33+E45</f>
        <v>0</v>
      </c>
      <c r="F55" s="5">
        <f t="shared" si="2"/>
        <v>349</v>
      </c>
      <c r="G55" s="5">
        <f>G11+G20+G33+G45</f>
        <v>82</v>
      </c>
      <c r="H55" s="5">
        <f>H11+H20+H33+H45</f>
        <v>17</v>
      </c>
      <c r="I55" s="5">
        <f>I11+I20+I33+I45</f>
        <v>0</v>
      </c>
      <c r="J55" s="5">
        <f t="shared" si="4"/>
        <v>99</v>
      </c>
    </row>
    <row r="56" spans="1:10" s="496" customFormat="1" ht="12.75" customHeight="1">
      <c r="A56" s="493"/>
      <c r="B56" s="494" t="s">
        <v>374</v>
      </c>
      <c r="C56" s="5">
        <f>C16+C46</f>
        <v>895</v>
      </c>
      <c r="D56" s="5">
        <f>D16+D46</f>
        <v>0</v>
      </c>
      <c r="E56" s="5">
        <f>E16+E46</f>
        <v>100</v>
      </c>
      <c r="F56" s="5">
        <f t="shared" si="2"/>
        <v>995</v>
      </c>
      <c r="G56" s="5">
        <f>G16+G46</f>
        <v>895</v>
      </c>
      <c r="H56" s="5">
        <f>H16+H46</f>
        <v>0</v>
      </c>
      <c r="I56" s="5">
        <f>I16+I46</f>
        <v>100</v>
      </c>
      <c r="J56" s="5">
        <f t="shared" si="4"/>
        <v>995</v>
      </c>
    </row>
    <row r="57" spans="1:10" s="496" customFormat="1" ht="12.75">
      <c r="A57" s="493"/>
      <c r="B57" s="498" t="s">
        <v>378</v>
      </c>
      <c r="C57" s="5">
        <f>C21</f>
        <v>0</v>
      </c>
      <c r="D57" s="5">
        <f>D21</f>
        <v>8</v>
      </c>
      <c r="E57" s="5">
        <f>E21</f>
        <v>0</v>
      </c>
      <c r="F57" s="5">
        <f>SUM(C57:E57)</f>
        <v>8</v>
      </c>
      <c r="G57" s="5">
        <f>G21</f>
        <v>0</v>
      </c>
      <c r="H57" s="5">
        <f>H21</f>
        <v>8</v>
      </c>
      <c r="I57" s="5">
        <f>I21</f>
        <v>0</v>
      </c>
      <c r="J57" s="5">
        <f>SUM(G57:I57)</f>
        <v>8</v>
      </c>
    </row>
    <row r="58" spans="1:10" s="496" customFormat="1" ht="24">
      <c r="A58" s="493"/>
      <c r="B58" s="498" t="s">
        <v>436</v>
      </c>
      <c r="C58" s="5">
        <f>C25</f>
        <v>18</v>
      </c>
      <c r="D58" s="5">
        <f>D25</f>
        <v>0</v>
      </c>
      <c r="E58" s="5">
        <f>E25</f>
        <v>0</v>
      </c>
      <c r="F58" s="5">
        <f t="shared" si="2"/>
        <v>18</v>
      </c>
      <c r="G58" s="5">
        <f>G25</f>
        <v>18</v>
      </c>
      <c r="H58" s="5">
        <f>H25</f>
        <v>0</v>
      </c>
      <c r="I58" s="5">
        <f>I25</f>
        <v>0</v>
      </c>
      <c r="J58" s="5">
        <f t="shared" si="4"/>
        <v>18</v>
      </c>
    </row>
    <row r="59" spans="1:10" s="496" customFormat="1" ht="12.75" customHeight="1">
      <c r="A59" s="493"/>
      <c r="B59" s="494" t="s">
        <v>446</v>
      </c>
      <c r="C59" s="5">
        <f>C48</f>
        <v>144</v>
      </c>
      <c r="D59" s="5">
        <f>D48</f>
        <v>64</v>
      </c>
      <c r="E59" s="5">
        <f>E48</f>
        <v>0</v>
      </c>
      <c r="F59" s="5">
        <f t="shared" si="2"/>
        <v>208</v>
      </c>
      <c r="G59" s="5">
        <f>G48</f>
        <v>144</v>
      </c>
      <c r="H59" s="5">
        <f>H48</f>
        <v>64</v>
      </c>
      <c r="I59" s="5">
        <f>I48</f>
        <v>0</v>
      </c>
      <c r="J59" s="5">
        <f t="shared" si="4"/>
        <v>208</v>
      </c>
    </row>
    <row r="60" spans="1:10" s="496" customFormat="1" ht="12.75" customHeight="1">
      <c r="A60" s="493"/>
      <c r="B60" s="494" t="s">
        <v>373</v>
      </c>
      <c r="C60" s="5">
        <f>C37</f>
        <v>300</v>
      </c>
      <c r="D60" s="5">
        <f>D37</f>
        <v>0</v>
      </c>
      <c r="E60" s="5">
        <f>E37</f>
        <v>0</v>
      </c>
      <c r="F60" s="5">
        <f t="shared" si="2"/>
        <v>300</v>
      </c>
      <c r="G60" s="5">
        <f>G37</f>
        <v>300</v>
      </c>
      <c r="H60" s="5">
        <f>H37</f>
        <v>0</v>
      </c>
      <c r="I60" s="5">
        <f>I37</f>
        <v>0</v>
      </c>
      <c r="J60" s="5">
        <f t="shared" si="4"/>
        <v>300</v>
      </c>
    </row>
    <row r="61" spans="1:10" s="522" customFormat="1" ht="24" customHeight="1">
      <c r="A61" s="518" t="s">
        <v>448</v>
      </c>
      <c r="B61" s="519"/>
      <c r="C61" s="521">
        <f aca="true" t="shared" si="5" ref="C61:J61">C7+C12+C17+C22+C26+C30+C34+C38+C47+C41</f>
        <v>10769</v>
      </c>
      <c r="D61" s="521">
        <f t="shared" si="5"/>
        <v>885</v>
      </c>
      <c r="E61" s="521">
        <f t="shared" si="5"/>
        <v>100</v>
      </c>
      <c r="F61" s="521">
        <f t="shared" si="5"/>
        <v>11754</v>
      </c>
      <c r="G61" s="521">
        <f t="shared" si="5"/>
        <v>9349</v>
      </c>
      <c r="H61" s="521">
        <f t="shared" si="5"/>
        <v>885</v>
      </c>
      <c r="I61" s="521">
        <f t="shared" si="5"/>
        <v>100</v>
      </c>
      <c r="J61" s="521">
        <f t="shared" si="5"/>
        <v>10334</v>
      </c>
    </row>
  </sheetData>
  <mergeCells count="1">
    <mergeCell ref="G4:J4"/>
  </mergeCells>
  <printOptions horizontalCentered="1"/>
  <pageMargins left="0.7874015748031497" right="0.7874015748031497" top="0.5905511811023623" bottom="0.5905511811023623" header="0.7086614173228347" footer="0.7086614173228347"/>
  <pageSetup firstPageNumber="4" useFirstPageNumber="1" horizontalDpi="600" verticalDpi="600" orientation="landscape" paperSize="9" scale="65" r:id="rId1"/>
  <headerFooter alignWithMargins="0">
    <oddFooter>&amp;R&amp;"Times New Roman,Grassetto"&amp;14&amp;P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 topLeftCell="A29">
      <selection activeCell="A1" sqref="A1:D1"/>
    </sheetView>
  </sheetViews>
  <sheetFormatPr defaultColWidth="9.140625" defaultRowHeight="12.75"/>
  <cols>
    <col min="1" max="1" width="4.28125" style="72" customWidth="1"/>
    <col min="2" max="2" width="49.421875" style="25" customWidth="1"/>
    <col min="3" max="3" width="3.140625" style="68" customWidth="1"/>
    <col min="4" max="4" width="8.57421875" style="69" bestFit="1" customWidth="1"/>
    <col min="5" max="7" width="10.00390625" style="8" customWidth="1"/>
    <col min="8" max="8" width="3.140625" style="91" customWidth="1"/>
    <col min="9" max="9" width="8.57421875" style="69" bestFit="1" customWidth="1"/>
    <col min="10" max="10" width="9.8515625" style="8" bestFit="1" customWidth="1"/>
    <col min="11" max="11" width="9.7109375" style="8" customWidth="1"/>
    <col min="12" max="12" width="8.28125" style="8" customWidth="1"/>
    <col min="13" max="13" width="3.140625" style="91" customWidth="1"/>
    <col min="14" max="14" width="30.7109375" style="34" customWidth="1"/>
    <col min="15" max="16384" width="9.140625" style="3" customWidth="1"/>
  </cols>
  <sheetData>
    <row r="1" spans="1:14" s="13" customFormat="1" ht="19.5">
      <c r="A1" s="262" t="s">
        <v>57</v>
      </c>
      <c r="B1" s="26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6" s="1" customFormat="1" ht="19.5">
      <c r="A2" s="262" t="s">
        <v>43</v>
      </c>
      <c r="B2" s="27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  <c r="P2" s="28"/>
    </row>
    <row r="3" spans="1:14" s="2" customFormat="1" ht="10.5" customHeight="1">
      <c r="A3" s="71"/>
      <c r="B3" s="21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6" s="432" customFormat="1" ht="15.75">
      <c r="A4" s="427"/>
      <c r="B4" s="428"/>
      <c r="C4" s="63"/>
      <c r="D4" s="403" t="s">
        <v>132</v>
      </c>
      <c r="E4" s="404"/>
      <c r="F4" s="404"/>
      <c r="G4" s="405"/>
      <c r="H4" s="429"/>
      <c r="I4" s="552" t="s">
        <v>133</v>
      </c>
      <c r="J4" s="553"/>
      <c r="K4" s="553"/>
      <c r="L4" s="554"/>
      <c r="M4" s="430"/>
      <c r="N4" s="431"/>
      <c r="P4" s="433"/>
    </row>
    <row r="5" spans="1:14" s="412" customFormat="1" ht="39" customHeight="1">
      <c r="A5" s="99" t="s">
        <v>399</v>
      </c>
      <c r="B5" s="434"/>
      <c r="C5" s="73"/>
      <c r="D5" s="407" t="s">
        <v>136</v>
      </c>
      <c r="E5" s="408" t="s">
        <v>137</v>
      </c>
      <c r="F5" s="408" t="s">
        <v>138</v>
      </c>
      <c r="G5" s="409" t="s">
        <v>139</v>
      </c>
      <c r="H5" s="410"/>
      <c r="I5" s="407" t="s">
        <v>136</v>
      </c>
      <c r="J5" s="408" t="s">
        <v>137</v>
      </c>
      <c r="K5" s="408" t="s">
        <v>138</v>
      </c>
      <c r="L5" s="409" t="s">
        <v>139</v>
      </c>
      <c r="M5" s="435"/>
      <c r="N5" s="436" t="s">
        <v>400</v>
      </c>
    </row>
    <row r="6" spans="1:14" s="316" customFormat="1" ht="12">
      <c r="A6" s="437"/>
      <c r="B6" s="438"/>
      <c r="C6" s="63"/>
      <c r="D6" s="415"/>
      <c r="E6" s="416"/>
      <c r="F6" s="416"/>
      <c r="G6" s="417"/>
      <c r="H6" s="322"/>
      <c r="I6" s="415"/>
      <c r="J6" s="416"/>
      <c r="K6" s="416"/>
      <c r="L6" s="417"/>
      <c r="M6" s="323"/>
      <c r="N6" s="439"/>
    </row>
    <row r="7" spans="1:14" s="316" customFormat="1" ht="27.75" customHeight="1">
      <c r="A7" s="155" t="s">
        <v>185</v>
      </c>
      <c r="B7" s="319"/>
      <c r="C7" s="63"/>
      <c r="D7" s="243">
        <f>SUM(D8:D9)</f>
        <v>63</v>
      </c>
      <c r="E7" s="320"/>
      <c r="F7" s="320"/>
      <c r="G7" s="321"/>
      <c r="H7" s="322"/>
      <c r="I7" s="243">
        <f>SUM(I8:I9)</f>
        <v>63</v>
      </c>
      <c r="J7" s="320"/>
      <c r="K7" s="320"/>
      <c r="L7" s="321"/>
      <c r="M7" s="323"/>
      <c r="N7" s="324"/>
    </row>
    <row r="8" spans="1:14" s="316" customFormat="1" ht="24">
      <c r="A8" s="325"/>
      <c r="B8" s="319" t="s">
        <v>186</v>
      </c>
      <c r="C8" s="63"/>
      <c r="D8" s="326">
        <v>45</v>
      </c>
      <c r="E8" s="327" t="s">
        <v>153</v>
      </c>
      <c r="F8" s="327" t="s">
        <v>145</v>
      </c>
      <c r="G8" s="259">
        <v>36944</v>
      </c>
      <c r="H8" s="322"/>
      <c r="I8" s="326">
        <v>45</v>
      </c>
      <c r="J8" s="327" t="s">
        <v>153</v>
      </c>
      <c r="K8" s="327" t="s">
        <v>145</v>
      </c>
      <c r="L8" s="259">
        <v>36944</v>
      </c>
      <c r="M8" s="323"/>
      <c r="N8" s="324" t="s">
        <v>156</v>
      </c>
    </row>
    <row r="9" spans="1:14" s="316" customFormat="1" ht="12">
      <c r="A9" s="325"/>
      <c r="B9" s="319" t="s">
        <v>336</v>
      </c>
      <c r="C9" s="63"/>
      <c r="D9" s="326">
        <v>18</v>
      </c>
      <c r="E9" s="327" t="s">
        <v>153</v>
      </c>
      <c r="F9" s="327" t="s">
        <v>145</v>
      </c>
      <c r="G9" s="259">
        <v>37173</v>
      </c>
      <c r="H9" s="322"/>
      <c r="I9" s="326">
        <v>18</v>
      </c>
      <c r="J9" s="327" t="s">
        <v>153</v>
      </c>
      <c r="K9" s="327" t="s">
        <v>145</v>
      </c>
      <c r="L9" s="259">
        <v>37173</v>
      </c>
      <c r="M9" s="323"/>
      <c r="N9" s="324" t="s">
        <v>156</v>
      </c>
    </row>
    <row r="10" spans="1:14" s="157" customFormat="1" ht="24.75" customHeight="1">
      <c r="A10" s="155" t="s">
        <v>369</v>
      </c>
      <c r="B10" s="311"/>
      <c r="C10" s="64"/>
      <c r="D10" s="243">
        <f>SUM(D11:D13)</f>
        <v>3223</v>
      </c>
      <c r="E10" s="243"/>
      <c r="F10" s="243"/>
      <c r="G10" s="243"/>
      <c r="H10" s="153"/>
      <c r="I10" s="243">
        <f>SUM(I11:I13)</f>
        <v>3223</v>
      </c>
      <c r="J10" s="243"/>
      <c r="K10" s="243"/>
      <c r="L10" s="243"/>
      <c r="M10" s="156"/>
      <c r="N10" s="306"/>
    </row>
    <row r="11" spans="1:14" s="238" customFormat="1" ht="12">
      <c r="A11" s="155"/>
      <c r="B11" s="234" t="s">
        <v>280</v>
      </c>
      <c r="C11" s="64"/>
      <c r="D11" s="98">
        <v>2020</v>
      </c>
      <c r="E11" s="98" t="s">
        <v>148</v>
      </c>
      <c r="F11" s="98" t="s">
        <v>145</v>
      </c>
      <c r="G11" s="259">
        <v>37131</v>
      </c>
      <c r="H11" s="236"/>
      <c r="I11" s="98">
        <v>2020</v>
      </c>
      <c r="J11" s="98" t="s">
        <v>148</v>
      </c>
      <c r="K11" s="98" t="s">
        <v>145</v>
      </c>
      <c r="L11" s="259">
        <v>37131</v>
      </c>
      <c r="M11" s="235"/>
      <c r="N11" s="328"/>
    </row>
    <row r="12" spans="1:14" s="238" customFormat="1" ht="12">
      <c r="A12" s="155"/>
      <c r="B12" s="234"/>
      <c r="C12" s="64"/>
      <c r="D12" s="98">
        <v>1200</v>
      </c>
      <c r="E12" s="98" t="s">
        <v>149</v>
      </c>
      <c r="F12" s="98"/>
      <c r="G12" s="98"/>
      <c r="H12" s="236"/>
      <c r="I12" s="98">
        <v>1200</v>
      </c>
      <c r="J12" s="98" t="s">
        <v>149</v>
      </c>
      <c r="K12" s="98"/>
      <c r="L12" s="98"/>
      <c r="M12" s="235"/>
      <c r="N12" s="328"/>
    </row>
    <row r="13" spans="1:14" s="238" customFormat="1" ht="24">
      <c r="A13" s="155"/>
      <c r="B13" s="234" t="s">
        <v>90</v>
      </c>
      <c r="C13" s="64"/>
      <c r="D13" s="98">
        <v>3</v>
      </c>
      <c r="E13" s="98" t="s">
        <v>155</v>
      </c>
      <c r="F13" s="98" t="s">
        <v>145</v>
      </c>
      <c r="G13" s="259">
        <v>37133</v>
      </c>
      <c r="H13" s="236"/>
      <c r="I13" s="98">
        <v>3</v>
      </c>
      <c r="J13" s="98" t="s">
        <v>155</v>
      </c>
      <c r="K13" s="98" t="s">
        <v>145</v>
      </c>
      <c r="L13" s="259">
        <v>37133</v>
      </c>
      <c r="M13" s="235"/>
      <c r="N13" s="331" t="s">
        <v>195</v>
      </c>
    </row>
    <row r="14" spans="1:14" s="157" customFormat="1" ht="24.75" customHeight="1">
      <c r="A14" s="155" t="s">
        <v>371</v>
      </c>
      <c r="B14" s="311"/>
      <c r="C14" s="64"/>
      <c r="D14" s="243">
        <f>SUM(D15:D21)</f>
        <v>3971</v>
      </c>
      <c r="E14" s="243"/>
      <c r="F14" s="243"/>
      <c r="G14" s="243"/>
      <c r="H14" s="153"/>
      <c r="I14" s="243">
        <f>SUM(I15:I21)</f>
        <v>3971</v>
      </c>
      <c r="J14" s="243"/>
      <c r="K14" s="243"/>
      <c r="L14" s="243"/>
      <c r="M14" s="156"/>
      <c r="N14" s="329"/>
    </row>
    <row r="15" spans="1:14" s="157" customFormat="1" ht="12">
      <c r="A15" s="155"/>
      <c r="B15" s="234" t="s">
        <v>50</v>
      </c>
      <c r="C15" s="64"/>
      <c r="D15" s="98"/>
      <c r="E15" s="98"/>
      <c r="F15" s="98"/>
      <c r="G15" s="98"/>
      <c r="H15" s="236"/>
      <c r="I15" s="98"/>
      <c r="J15" s="98"/>
      <c r="K15" s="98"/>
      <c r="L15" s="98"/>
      <c r="M15" s="235"/>
      <c r="N15" s="328"/>
    </row>
    <row r="16" spans="1:14" s="157" customFormat="1" ht="24">
      <c r="A16" s="155"/>
      <c r="B16" s="330" t="s">
        <v>127</v>
      </c>
      <c r="C16" s="64"/>
      <c r="D16" s="98">
        <v>997</v>
      </c>
      <c r="E16" s="98" t="s">
        <v>395</v>
      </c>
      <c r="F16" s="98" t="s">
        <v>93</v>
      </c>
      <c r="G16" s="259">
        <v>37151</v>
      </c>
      <c r="H16" s="236"/>
      <c r="I16" s="98">
        <v>997</v>
      </c>
      <c r="J16" s="98" t="s">
        <v>197</v>
      </c>
      <c r="K16" s="98" t="s">
        <v>145</v>
      </c>
      <c r="L16" s="259">
        <v>37179</v>
      </c>
      <c r="M16" s="235"/>
      <c r="N16" s="331" t="s">
        <v>117</v>
      </c>
    </row>
    <row r="17" spans="1:14" s="157" customFormat="1" ht="12">
      <c r="A17" s="155"/>
      <c r="B17" s="330"/>
      <c r="C17" s="64"/>
      <c r="D17" s="98">
        <v>997</v>
      </c>
      <c r="E17" s="98" t="s">
        <v>149</v>
      </c>
      <c r="F17" s="98"/>
      <c r="G17" s="98"/>
      <c r="H17" s="236"/>
      <c r="I17" s="98">
        <v>997</v>
      </c>
      <c r="J17" s="98" t="s">
        <v>149</v>
      </c>
      <c r="K17" s="98"/>
      <c r="L17" s="98"/>
      <c r="M17" s="235"/>
      <c r="N17" s="331"/>
    </row>
    <row r="18" spans="1:14" s="157" customFormat="1" ht="24">
      <c r="A18" s="155"/>
      <c r="B18" s="330" t="s">
        <v>130</v>
      </c>
      <c r="C18" s="64"/>
      <c r="D18" s="98">
        <v>825</v>
      </c>
      <c r="E18" s="98" t="s">
        <v>197</v>
      </c>
      <c r="F18" s="98" t="s">
        <v>145</v>
      </c>
      <c r="G18" s="259">
        <v>37147</v>
      </c>
      <c r="H18" s="236"/>
      <c r="I18" s="98">
        <v>825</v>
      </c>
      <c r="J18" s="98" t="s">
        <v>197</v>
      </c>
      <c r="K18" s="98" t="s">
        <v>145</v>
      </c>
      <c r="L18" s="259">
        <v>37179</v>
      </c>
      <c r="M18" s="235"/>
      <c r="N18" s="331" t="s">
        <v>117</v>
      </c>
    </row>
    <row r="19" spans="1:14" s="157" customFormat="1" ht="12">
      <c r="A19" s="155"/>
      <c r="B19" s="330"/>
      <c r="C19" s="64"/>
      <c r="D19" s="98">
        <v>825</v>
      </c>
      <c r="E19" s="98" t="s">
        <v>149</v>
      </c>
      <c r="F19" s="98"/>
      <c r="G19" s="98"/>
      <c r="H19" s="236"/>
      <c r="I19" s="98">
        <v>825</v>
      </c>
      <c r="J19" s="98" t="s">
        <v>149</v>
      </c>
      <c r="K19" s="98"/>
      <c r="L19" s="98"/>
      <c r="M19" s="235"/>
      <c r="N19" s="331"/>
    </row>
    <row r="20" spans="1:14" s="157" customFormat="1" ht="12">
      <c r="A20" s="155"/>
      <c r="B20" s="330" t="s">
        <v>59</v>
      </c>
      <c r="C20" s="64"/>
      <c r="D20" s="98">
        <v>306</v>
      </c>
      <c r="E20" s="98" t="s">
        <v>142</v>
      </c>
      <c r="F20" s="98" t="s">
        <v>145</v>
      </c>
      <c r="G20" s="259">
        <v>37110</v>
      </c>
      <c r="H20" s="236"/>
      <c r="I20" s="98">
        <v>306</v>
      </c>
      <c r="J20" s="98" t="s">
        <v>142</v>
      </c>
      <c r="K20" s="98" t="s">
        <v>145</v>
      </c>
      <c r="L20" s="259">
        <v>37110</v>
      </c>
      <c r="M20" s="235"/>
      <c r="N20" s="331"/>
    </row>
    <row r="21" spans="1:14" s="157" customFormat="1" ht="24">
      <c r="A21" s="155"/>
      <c r="B21" s="234" t="s">
        <v>211</v>
      </c>
      <c r="C21" s="64"/>
      <c r="D21" s="98">
        <v>21</v>
      </c>
      <c r="E21" s="98" t="s">
        <v>147</v>
      </c>
      <c r="F21" s="98" t="s">
        <v>145</v>
      </c>
      <c r="G21" s="259">
        <v>36992</v>
      </c>
      <c r="H21" s="236"/>
      <c r="I21" s="98">
        <v>21</v>
      </c>
      <c r="J21" s="98" t="s">
        <v>147</v>
      </c>
      <c r="K21" s="98" t="s">
        <v>145</v>
      </c>
      <c r="L21" s="259">
        <v>36992</v>
      </c>
      <c r="M21" s="235"/>
      <c r="N21" s="331" t="s">
        <v>156</v>
      </c>
    </row>
    <row r="22" spans="1:14" s="157" customFormat="1" ht="26.25" customHeight="1">
      <c r="A22" s="155" t="s">
        <v>177</v>
      </c>
      <c r="B22" s="330"/>
      <c r="C22" s="64"/>
      <c r="D22" s="243">
        <f>SUM(D23:D25)</f>
        <v>413</v>
      </c>
      <c r="E22" s="98"/>
      <c r="F22" s="98"/>
      <c r="G22" s="98"/>
      <c r="H22" s="236"/>
      <c r="I22" s="243">
        <f>SUM(I23:I25)</f>
        <v>413</v>
      </c>
      <c r="J22" s="98"/>
      <c r="K22" s="98"/>
      <c r="L22" s="98"/>
      <c r="M22" s="235"/>
      <c r="N22" s="331"/>
    </row>
    <row r="23" spans="1:14" s="157" customFormat="1" ht="33.75">
      <c r="A23" s="155"/>
      <c r="B23" s="234" t="s">
        <v>179</v>
      </c>
      <c r="C23" s="64"/>
      <c r="D23" s="98">
        <v>125</v>
      </c>
      <c r="E23" s="98" t="s">
        <v>155</v>
      </c>
      <c r="F23" s="98" t="s">
        <v>145</v>
      </c>
      <c r="G23" s="259">
        <v>36908</v>
      </c>
      <c r="H23" s="236"/>
      <c r="I23" s="98">
        <v>125</v>
      </c>
      <c r="J23" s="98" t="s">
        <v>155</v>
      </c>
      <c r="K23" s="98" t="s">
        <v>145</v>
      </c>
      <c r="L23" s="259">
        <v>36908</v>
      </c>
      <c r="M23" s="235"/>
      <c r="N23" s="331" t="s">
        <v>178</v>
      </c>
    </row>
    <row r="24" spans="1:14" s="157" customFormat="1" ht="24">
      <c r="A24" s="155"/>
      <c r="B24" s="234" t="s">
        <v>33</v>
      </c>
      <c r="C24" s="64"/>
      <c r="D24" s="98">
        <v>13</v>
      </c>
      <c r="E24" s="98" t="s">
        <v>155</v>
      </c>
      <c r="F24" s="98" t="s">
        <v>145</v>
      </c>
      <c r="G24" s="259">
        <v>37081</v>
      </c>
      <c r="H24" s="236"/>
      <c r="I24" s="98">
        <v>13</v>
      </c>
      <c r="J24" s="98" t="s">
        <v>155</v>
      </c>
      <c r="K24" s="98" t="s">
        <v>145</v>
      </c>
      <c r="L24" s="259">
        <v>37081</v>
      </c>
      <c r="M24" s="235"/>
      <c r="N24" s="331" t="s">
        <v>34</v>
      </c>
    </row>
    <row r="25" spans="1:14" s="157" customFormat="1" ht="12">
      <c r="A25" s="155"/>
      <c r="B25" s="332" t="s">
        <v>283</v>
      </c>
      <c r="C25" s="64"/>
      <c r="D25" s="98">
        <v>275</v>
      </c>
      <c r="E25" s="98" t="s">
        <v>142</v>
      </c>
      <c r="F25" s="98" t="s">
        <v>145</v>
      </c>
      <c r="G25" s="259">
        <v>37140</v>
      </c>
      <c r="H25" s="236"/>
      <c r="I25" s="98">
        <v>275</v>
      </c>
      <c r="J25" s="98" t="s">
        <v>142</v>
      </c>
      <c r="K25" s="98" t="s">
        <v>145</v>
      </c>
      <c r="L25" s="259">
        <v>37140</v>
      </c>
      <c r="M25" s="235"/>
      <c r="N25" s="331"/>
    </row>
    <row r="26" spans="1:14" s="157" customFormat="1" ht="24.75" customHeight="1">
      <c r="A26" s="333" t="s">
        <v>372</v>
      </c>
      <c r="B26" s="311"/>
      <c r="C26" s="64"/>
      <c r="D26" s="243">
        <f>SUM(D27:D27)</f>
        <v>387</v>
      </c>
      <c r="E26" s="243"/>
      <c r="F26" s="243"/>
      <c r="G26" s="243"/>
      <c r="H26" s="153"/>
      <c r="I26" s="243">
        <f>SUM(I27:I27)</f>
        <v>387</v>
      </c>
      <c r="J26" s="243"/>
      <c r="K26" s="243"/>
      <c r="L26" s="243"/>
      <c r="M26" s="156"/>
      <c r="N26" s="329"/>
    </row>
    <row r="27" spans="1:14" s="157" customFormat="1" ht="24" customHeight="1">
      <c r="A27" s="155"/>
      <c r="B27" s="234" t="s">
        <v>120</v>
      </c>
      <c r="C27" s="64"/>
      <c r="D27" s="98">
        <v>387</v>
      </c>
      <c r="E27" s="555" t="s">
        <v>140</v>
      </c>
      <c r="F27" s="556"/>
      <c r="G27" s="557"/>
      <c r="H27" s="236"/>
      <c r="I27" s="98">
        <v>387</v>
      </c>
      <c r="J27" s="98" t="s">
        <v>155</v>
      </c>
      <c r="K27" s="98" t="s">
        <v>145</v>
      </c>
      <c r="L27" s="259">
        <v>37053</v>
      </c>
      <c r="M27" s="235"/>
      <c r="N27" s="306"/>
    </row>
    <row r="28" spans="1:14" s="157" customFormat="1" ht="24.75" customHeight="1">
      <c r="A28" s="155" t="s">
        <v>311</v>
      </c>
      <c r="B28" s="231"/>
      <c r="C28" s="64"/>
      <c r="D28" s="243">
        <f>+D29</f>
        <v>56</v>
      </c>
      <c r="E28" s="98"/>
      <c r="F28" s="98"/>
      <c r="G28" s="98"/>
      <c r="H28" s="236"/>
      <c r="I28" s="243">
        <f>+I29</f>
        <v>56</v>
      </c>
      <c r="J28" s="98"/>
      <c r="K28" s="98"/>
      <c r="L28" s="98"/>
      <c r="M28" s="235"/>
      <c r="N28" s="306"/>
    </row>
    <row r="29" spans="1:14" s="157" customFormat="1" ht="24">
      <c r="A29" s="155"/>
      <c r="B29" s="234" t="s">
        <v>187</v>
      </c>
      <c r="C29" s="64"/>
      <c r="D29" s="98">
        <v>56</v>
      </c>
      <c r="E29" s="98" t="s">
        <v>155</v>
      </c>
      <c r="F29" s="98" t="s">
        <v>145</v>
      </c>
      <c r="G29" s="259">
        <v>36972</v>
      </c>
      <c r="H29" s="236"/>
      <c r="I29" s="98">
        <v>56</v>
      </c>
      <c r="J29" s="98" t="s">
        <v>155</v>
      </c>
      <c r="K29" s="98" t="s">
        <v>145</v>
      </c>
      <c r="L29" s="259">
        <v>36972</v>
      </c>
      <c r="M29" s="235"/>
      <c r="N29" s="306" t="s">
        <v>188</v>
      </c>
    </row>
    <row r="30" spans="1:14" s="157" customFormat="1" ht="12">
      <c r="A30" s="155"/>
      <c r="B30" s="311"/>
      <c r="C30" s="64"/>
      <c r="D30" s="334"/>
      <c r="E30" s="243"/>
      <c r="F30" s="243"/>
      <c r="G30" s="243"/>
      <c r="H30" s="153"/>
      <c r="I30" s="243"/>
      <c r="J30" s="243"/>
      <c r="K30" s="243"/>
      <c r="L30" s="243"/>
      <c r="M30" s="156"/>
      <c r="N30" s="329"/>
    </row>
    <row r="31" spans="1:14" s="14" customFormat="1" ht="24.75" customHeight="1">
      <c r="A31" s="273"/>
      <c r="B31" s="295" t="s">
        <v>206</v>
      </c>
      <c r="C31" s="275"/>
      <c r="D31" s="274">
        <f>+D10+D14+D26+D30+D22+D7+D28</f>
        <v>8113</v>
      </c>
      <c r="E31" s="274"/>
      <c r="F31" s="274"/>
      <c r="G31" s="274"/>
      <c r="H31" s="276"/>
      <c r="I31" s="274">
        <f>+I10+I14+I26+I30+I22+I7+I28</f>
        <v>8113</v>
      </c>
      <c r="J31" s="274"/>
      <c r="K31" s="274"/>
      <c r="L31" s="274"/>
      <c r="M31" s="104"/>
      <c r="N31" s="97"/>
    </row>
    <row r="32" spans="1:14" s="48" customFormat="1" ht="12">
      <c r="A32" s="154"/>
      <c r="B32" s="108"/>
      <c r="C32" s="78"/>
      <c r="D32" s="70"/>
      <c r="E32" s="45"/>
      <c r="F32" s="45"/>
      <c r="G32" s="45"/>
      <c r="H32" s="44"/>
      <c r="I32" s="70"/>
      <c r="J32" s="45"/>
      <c r="K32" s="45"/>
      <c r="L32" s="45"/>
      <c r="M32" s="44"/>
      <c r="N32" s="46"/>
    </row>
    <row r="33" spans="1:14" s="48" customFormat="1" ht="12">
      <c r="A33" s="154"/>
      <c r="B33" s="25"/>
      <c r="C33" s="78"/>
      <c r="D33" s="70"/>
      <c r="E33" s="45"/>
      <c r="F33" s="45"/>
      <c r="G33" s="45"/>
      <c r="H33" s="44"/>
      <c r="I33" s="70"/>
      <c r="J33" s="45"/>
      <c r="K33" s="45"/>
      <c r="L33" s="45"/>
      <c r="M33" s="44"/>
      <c r="N33" s="46"/>
    </row>
    <row r="34" spans="1:14" s="48" customFormat="1" ht="12">
      <c r="A34" s="154"/>
      <c r="B34" s="25"/>
      <c r="C34" s="78"/>
      <c r="D34" s="70"/>
      <c r="E34" s="45"/>
      <c r="F34" s="45"/>
      <c r="G34" s="45"/>
      <c r="H34" s="44"/>
      <c r="I34" s="70"/>
      <c r="J34" s="45"/>
      <c r="K34" s="45"/>
      <c r="L34" s="45"/>
      <c r="M34" s="44"/>
      <c r="N34" s="46"/>
    </row>
    <row r="35" spans="1:14" s="48" customFormat="1" ht="12.75">
      <c r="A35" s="154"/>
      <c r="B35" s="335"/>
      <c r="C35" s="78"/>
      <c r="D35" s="70"/>
      <c r="E35" s="45"/>
      <c r="F35" s="45"/>
      <c r="G35" s="45"/>
      <c r="H35" s="44"/>
      <c r="I35" s="70"/>
      <c r="J35" s="45"/>
      <c r="K35" s="45"/>
      <c r="L35" s="45"/>
      <c r="M35" s="44"/>
      <c r="N35" s="46"/>
    </row>
    <row r="36" spans="1:14" s="48" customFormat="1" ht="18">
      <c r="A36" s="154"/>
      <c r="B36" s="203" t="s">
        <v>404</v>
      </c>
      <c r="C36" s="78"/>
      <c r="D36" s="70"/>
      <c r="E36" s="45"/>
      <c r="F36" s="45"/>
      <c r="G36" s="45"/>
      <c r="H36" s="44"/>
      <c r="I36" s="70"/>
      <c r="J36" s="45"/>
      <c r="K36" s="45"/>
      <c r="L36" s="45"/>
      <c r="M36" s="44"/>
      <c r="N36" s="46"/>
    </row>
  </sheetData>
  <mergeCells count="2">
    <mergeCell ref="E27:G27"/>
    <mergeCell ref="I4:L4"/>
  </mergeCells>
  <printOptions gridLines="1" horizontalCentered="1"/>
  <pageMargins left="0.3937007874015748" right="0.3937007874015748" top="0.5905511811023623" bottom="0.5" header="0.5118110236220472" footer="0.31496062992125984"/>
  <pageSetup firstPageNumber="6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.28125" style="72" customWidth="1"/>
    <col min="2" max="2" width="49.421875" style="25" customWidth="1"/>
    <col min="3" max="3" width="3.8515625" style="68" customWidth="1"/>
    <col min="4" max="4" width="8.57421875" style="69" bestFit="1" customWidth="1"/>
    <col min="5" max="5" width="12.8515625" style="8" bestFit="1" customWidth="1"/>
    <col min="6" max="7" width="9.8515625" style="8" customWidth="1"/>
    <col min="8" max="8" width="3.8515625" style="91" customWidth="1"/>
    <col min="9" max="9" width="8.57421875" style="69" bestFit="1" customWidth="1"/>
    <col min="10" max="10" width="9.7109375" style="8" bestFit="1" customWidth="1"/>
    <col min="11" max="11" width="8.7109375" style="8" customWidth="1"/>
    <col min="12" max="12" width="8.28125" style="8" customWidth="1"/>
    <col min="13" max="13" width="3.8515625" style="91" customWidth="1"/>
    <col min="14" max="14" width="30.7109375" style="34" customWidth="1"/>
    <col min="15" max="16384" width="9.140625" style="3" customWidth="1"/>
  </cols>
  <sheetData>
    <row r="1" spans="1:14" s="13" customFormat="1" ht="19.5">
      <c r="A1" s="262" t="s">
        <v>57</v>
      </c>
      <c r="B1" s="26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6" s="1" customFormat="1" ht="19.5">
      <c r="A2" s="262" t="s">
        <v>44</v>
      </c>
      <c r="B2" s="27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  <c r="P2" s="28"/>
    </row>
    <row r="3" spans="1:14" s="2" customFormat="1" ht="10.5" customHeight="1">
      <c r="A3" s="71"/>
      <c r="B3" s="21"/>
      <c r="C3" s="68"/>
      <c r="D3" s="68"/>
      <c r="E3" s="7"/>
      <c r="F3" s="7"/>
      <c r="G3" s="19"/>
      <c r="H3" s="19"/>
      <c r="I3" s="68"/>
      <c r="J3" s="7"/>
      <c r="K3" s="7"/>
      <c r="L3" s="19"/>
      <c r="M3" s="19"/>
      <c r="N3" s="32" t="s">
        <v>450</v>
      </c>
    </row>
    <row r="4" spans="1:16" s="9" customFormat="1" ht="15.75">
      <c r="A4" s="57"/>
      <c r="B4" s="22"/>
      <c r="C4" s="63"/>
      <c r="D4" s="250" t="s">
        <v>132</v>
      </c>
      <c r="E4" s="251"/>
      <c r="F4" s="251"/>
      <c r="G4" s="252"/>
      <c r="H4" s="80"/>
      <c r="I4" s="558" t="s">
        <v>133</v>
      </c>
      <c r="J4" s="559"/>
      <c r="K4" s="559"/>
      <c r="L4" s="560"/>
      <c r="M4" s="80"/>
      <c r="N4" s="95"/>
      <c r="P4" s="29"/>
    </row>
    <row r="5" spans="1:14" ht="39" customHeight="1">
      <c r="A5" s="112" t="s">
        <v>399</v>
      </c>
      <c r="B5" s="109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31" t="s">
        <v>400</v>
      </c>
    </row>
    <row r="6" spans="1:14" s="17" customFormat="1" ht="12">
      <c r="A6" s="58"/>
      <c r="B6" s="23"/>
      <c r="C6" s="63"/>
      <c r="D6" s="256"/>
      <c r="E6" s="257"/>
      <c r="F6" s="257"/>
      <c r="G6" s="258"/>
      <c r="H6" s="89"/>
      <c r="I6" s="256"/>
      <c r="J6" s="257"/>
      <c r="K6" s="257"/>
      <c r="L6" s="258"/>
      <c r="M6" s="81"/>
      <c r="N6" s="96"/>
    </row>
    <row r="7" spans="1:14" s="157" customFormat="1" ht="24.75" customHeight="1">
      <c r="A7" s="155" t="s">
        <v>370</v>
      </c>
      <c r="B7" s="311"/>
      <c r="C7" s="64"/>
      <c r="D7" s="243">
        <f>SUM(D8:D18)</f>
        <v>6912</v>
      </c>
      <c r="E7" s="243"/>
      <c r="F7" s="243"/>
      <c r="G7" s="243"/>
      <c r="H7" s="153"/>
      <c r="I7" s="243">
        <f>SUM(I8:I18)</f>
        <v>6912</v>
      </c>
      <c r="J7" s="243"/>
      <c r="K7" s="243"/>
      <c r="L7" s="243"/>
      <c r="M7" s="156"/>
      <c r="N7" s="306"/>
    </row>
    <row r="8" spans="1:14" s="157" customFormat="1" ht="12">
      <c r="A8" s="155"/>
      <c r="B8" s="312" t="s">
        <v>401</v>
      </c>
      <c r="C8" s="64"/>
      <c r="D8" s="98"/>
      <c r="E8" s="243"/>
      <c r="F8" s="243"/>
      <c r="G8" s="243"/>
      <c r="H8" s="153"/>
      <c r="I8" s="98"/>
      <c r="J8" s="243"/>
      <c r="K8" s="243"/>
      <c r="L8" s="243"/>
      <c r="M8" s="156"/>
      <c r="N8" s="306"/>
    </row>
    <row r="9" spans="1:14" s="237" customFormat="1" ht="24">
      <c r="A9" s="155"/>
      <c r="B9" s="230" t="s">
        <v>277</v>
      </c>
      <c r="C9" s="64"/>
      <c r="D9" s="98">
        <v>1500</v>
      </c>
      <c r="E9" s="98" t="s">
        <v>197</v>
      </c>
      <c r="F9" s="98" t="s">
        <v>94</v>
      </c>
      <c r="G9" s="259">
        <v>37151</v>
      </c>
      <c r="H9" s="236"/>
      <c r="I9" s="98">
        <v>1500</v>
      </c>
      <c r="J9" s="98" t="s">
        <v>197</v>
      </c>
      <c r="K9" s="98" t="s">
        <v>335</v>
      </c>
      <c r="L9" s="259">
        <v>37235</v>
      </c>
      <c r="M9" s="235"/>
      <c r="N9" s="306"/>
    </row>
    <row r="10" spans="1:14" s="237" customFormat="1" ht="12">
      <c r="A10" s="155"/>
      <c r="B10" s="230"/>
      <c r="C10" s="64"/>
      <c r="D10" s="98">
        <v>898</v>
      </c>
      <c r="E10" s="98" t="s">
        <v>147</v>
      </c>
      <c r="F10" s="98"/>
      <c r="G10" s="98"/>
      <c r="H10" s="236"/>
      <c r="I10" s="98">
        <v>898</v>
      </c>
      <c r="J10" s="98" t="s">
        <v>147</v>
      </c>
      <c r="K10" s="98" t="s">
        <v>94</v>
      </c>
      <c r="L10" s="259">
        <v>37151</v>
      </c>
      <c r="M10" s="235"/>
      <c r="N10" s="306"/>
    </row>
    <row r="11" spans="1:14" s="237" customFormat="1" ht="24">
      <c r="A11" s="155"/>
      <c r="B11" s="230" t="s">
        <v>114</v>
      </c>
      <c r="C11" s="64"/>
      <c r="D11" s="98">
        <v>65</v>
      </c>
      <c r="E11" s="98" t="s">
        <v>219</v>
      </c>
      <c r="F11" s="98" t="s">
        <v>145</v>
      </c>
      <c r="G11" s="259">
        <v>37231</v>
      </c>
      <c r="H11" s="236"/>
      <c r="I11" s="98">
        <v>65</v>
      </c>
      <c r="J11" s="98" t="s">
        <v>219</v>
      </c>
      <c r="K11" s="98" t="s">
        <v>145</v>
      </c>
      <c r="L11" s="259">
        <v>37231</v>
      </c>
      <c r="M11" s="235"/>
      <c r="N11" s="306" t="s">
        <v>156</v>
      </c>
    </row>
    <row r="12" spans="1:14" s="157" customFormat="1" ht="24.75" customHeight="1">
      <c r="A12" s="155"/>
      <c r="B12" s="312" t="s">
        <v>402</v>
      </c>
      <c r="C12" s="64"/>
      <c r="D12" s="98"/>
      <c r="E12" s="243"/>
      <c r="F12" s="243"/>
      <c r="G12" s="243"/>
      <c r="H12" s="153"/>
      <c r="I12" s="98"/>
      <c r="J12" s="243"/>
      <c r="K12" s="243"/>
      <c r="L12" s="243"/>
      <c r="M12" s="156"/>
      <c r="N12" s="329"/>
    </row>
    <row r="13" spans="1:14" s="237" customFormat="1" ht="22.5" customHeight="1">
      <c r="A13" s="155"/>
      <c r="B13" s="230" t="s">
        <v>345</v>
      </c>
      <c r="C13" s="64"/>
      <c r="D13" s="98">
        <v>3000</v>
      </c>
      <c r="E13" s="555" t="s">
        <v>140</v>
      </c>
      <c r="F13" s="556"/>
      <c r="G13" s="557"/>
      <c r="H13" s="107"/>
      <c r="I13" s="98">
        <v>3000</v>
      </c>
      <c r="J13" s="98" t="s">
        <v>155</v>
      </c>
      <c r="K13" s="98" t="s">
        <v>239</v>
      </c>
      <c r="L13" s="259">
        <v>37015</v>
      </c>
      <c r="M13" s="235"/>
      <c r="N13" s="306"/>
    </row>
    <row r="14" spans="1:14" s="237" customFormat="1" ht="12.75">
      <c r="A14" s="155"/>
      <c r="B14" s="230" t="s">
        <v>49</v>
      </c>
      <c r="C14" s="64"/>
      <c r="D14" s="98">
        <v>1368</v>
      </c>
      <c r="E14" s="555" t="s">
        <v>140</v>
      </c>
      <c r="F14" s="556"/>
      <c r="G14" s="557"/>
      <c r="H14" s="107"/>
      <c r="I14" s="98">
        <v>1368</v>
      </c>
      <c r="J14" s="98" t="s">
        <v>155</v>
      </c>
      <c r="K14" s="98" t="s">
        <v>145</v>
      </c>
      <c r="L14" s="259">
        <v>37053</v>
      </c>
      <c r="M14" s="235"/>
      <c r="N14" s="306"/>
    </row>
    <row r="15" spans="1:14" s="237" customFormat="1" ht="12">
      <c r="A15" s="155"/>
      <c r="B15" s="234" t="s">
        <v>122</v>
      </c>
      <c r="C15" s="64"/>
      <c r="D15" s="98">
        <v>35</v>
      </c>
      <c r="E15" s="98" t="s">
        <v>155</v>
      </c>
      <c r="F15" s="98" t="s">
        <v>145</v>
      </c>
      <c r="G15" s="259">
        <v>37050</v>
      </c>
      <c r="H15" s="236"/>
      <c r="I15" s="98">
        <v>35</v>
      </c>
      <c r="J15" s="98" t="s">
        <v>155</v>
      </c>
      <c r="K15" s="98" t="s">
        <v>145</v>
      </c>
      <c r="L15" s="259">
        <v>37050</v>
      </c>
      <c r="M15" s="235"/>
      <c r="N15" s="306" t="s">
        <v>316</v>
      </c>
    </row>
    <row r="16" spans="1:14" s="237" customFormat="1" ht="24">
      <c r="A16" s="155"/>
      <c r="B16" s="234" t="s">
        <v>337</v>
      </c>
      <c r="C16" s="64"/>
      <c r="D16" s="98">
        <v>41</v>
      </c>
      <c r="E16" s="98" t="s">
        <v>338</v>
      </c>
      <c r="F16" s="98" t="s">
        <v>145</v>
      </c>
      <c r="G16" s="259">
        <v>37245</v>
      </c>
      <c r="H16" s="236"/>
      <c r="I16" s="98">
        <v>41</v>
      </c>
      <c r="J16" s="98" t="s">
        <v>338</v>
      </c>
      <c r="K16" s="98" t="s">
        <v>145</v>
      </c>
      <c r="L16" s="259">
        <v>37245</v>
      </c>
      <c r="M16" s="235"/>
      <c r="N16" s="306"/>
    </row>
    <row r="17" spans="1:14" s="237" customFormat="1" ht="12">
      <c r="A17" s="155"/>
      <c r="B17" s="234"/>
      <c r="C17" s="64"/>
      <c r="D17" s="98">
        <v>5</v>
      </c>
      <c r="E17" s="98" t="s">
        <v>339</v>
      </c>
      <c r="F17" s="98"/>
      <c r="G17" s="259"/>
      <c r="H17" s="236"/>
      <c r="I17" s="98">
        <v>5</v>
      </c>
      <c r="J17" s="98" t="s">
        <v>339</v>
      </c>
      <c r="K17" s="98"/>
      <c r="L17" s="259"/>
      <c r="M17" s="235"/>
      <c r="N17" s="306"/>
    </row>
    <row r="18" spans="1:14" s="237" customFormat="1" ht="12">
      <c r="A18" s="155"/>
      <c r="B18" s="234"/>
      <c r="C18" s="64"/>
      <c r="D18" s="441"/>
      <c r="E18" s="98"/>
      <c r="F18" s="98"/>
      <c r="G18" s="98"/>
      <c r="H18" s="236"/>
      <c r="I18" s="98"/>
      <c r="J18" s="98"/>
      <c r="K18" s="98"/>
      <c r="L18" s="98"/>
      <c r="M18" s="235"/>
      <c r="N18" s="306"/>
    </row>
    <row r="19" spans="1:14" s="14" customFormat="1" ht="24.75" customHeight="1">
      <c r="A19" s="273"/>
      <c r="B19" s="295" t="s">
        <v>206</v>
      </c>
      <c r="C19" s="275"/>
      <c r="D19" s="274">
        <f>+D7</f>
        <v>6912</v>
      </c>
      <c r="E19" s="274"/>
      <c r="F19" s="274"/>
      <c r="G19" s="274"/>
      <c r="H19" s="276"/>
      <c r="I19" s="274">
        <f>+I7</f>
        <v>6912</v>
      </c>
      <c r="J19" s="274"/>
      <c r="K19" s="274"/>
      <c r="L19" s="274"/>
      <c r="M19" s="93"/>
      <c r="N19" s="97"/>
    </row>
    <row r="20" spans="1:14" s="48" customFormat="1" ht="12">
      <c r="A20" s="154"/>
      <c r="B20" s="108"/>
      <c r="C20" s="78"/>
      <c r="D20" s="70"/>
      <c r="E20" s="45"/>
      <c r="F20" s="45"/>
      <c r="G20" s="45"/>
      <c r="H20" s="44"/>
      <c r="I20" s="70"/>
      <c r="J20" s="45"/>
      <c r="K20" s="45"/>
      <c r="L20" s="45"/>
      <c r="M20" s="44"/>
      <c r="N20" s="46"/>
    </row>
    <row r="21" spans="1:14" s="48" customFormat="1" ht="12">
      <c r="A21" s="70"/>
      <c r="B21" s="70"/>
      <c r="C21" s="78"/>
      <c r="D21" s="70"/>
      <c r="E21" s="45"/>
      <c r="F21" s="45"/>
      <c r="G21" s="45"/>
      <c r="H21" s="44"/>
      <c r="I21" s="70"/>
      <c r="J21" s="45"/>
      <c r="K21" s="45"/>
      <c r="L21" s="45"/>
      <c r="M21" s="44"/>
      <c r="N21" s="46"/>
    </row>
    <row r="22" spans="1:14" s="48" customFormat="1" ht="12">
      <c r="A22" s="70"/>
      <c r="B22" s="70"/>
      <c r="C22" s="233"/>
      <c r="D22" s="70"/>
      <c r="E22" s="45"/>
      <c r="F22" s="45"/>
      <c r="G22" s="45"/>
      <c r="H22" s="44"/>
      <c r="I22" s="70"/>
      <c r="J22" s="45"/>
      <c r="K22" s="45"/>
      <c r="L22" s="45"/>
      <c r="M22" s="44"/>
      <c r="N22" s="46"/>
    </row>
    <row r="23" spans="1:14" s="48" customFormat="1" ht="12">
      <c r="A23" s="70"/>
      <c r="B23" s="70"/>
      <c r="C23" s="78"/>
      <c r="D23" s="70"/>
      <c r="E23" s="45"/>
      <c r="F23" s="45"/>
      <c r="G23" s="45"/>
      <c r="H23" s="44"/>
      <c r="I23" s="70"/>
      <c r="J23" s="45"/>
      <c r="K23" s="45"/>
      <c r="L23" s="45"/>
      <c r="M23" s="44"/>
      <c r="N23" s="46"/>
    </row>
    <row r="24" spans="1:14" s="48" customFormat="1" ht="12">
      <c r="A24" s="70"/>
      <c r="B24" s="70" t="s">
        <v>404</v>
      </c>
      <c r="C24" s="78"/>
      <c r="D24" s="70"/>
      <c r="E24" s="45"/>
      <c r="F24" s="45"/>
      <c r="G24" s="45"/>
      <c r="H24" s="44"/>
      <c r="I24" s="70"/>
      <c r="J24" s="45"/>
      <c r="K24" s="45"/>
      <c r="L24" s="45"/>
      <c r="M24" s="44"/>
      <c r="N24" s="46"/>
    </row>
  </sheetData>
  <mergeCells count="3">
    <mergeCell ref="I4:L4"/>
    <mergeCell ref="E13:G13"/>
    <mergeCell ref="E14:G14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7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48"/>
  <sheetViews>
    <sheetView zoomScale="75" zoomScaleNormal="75" workbookViewId="0" topLeftCell="A28">
      <selection activeCell="A1" sqref="A1:D1"/>
    </sheetView>
  </sheetViews>
  <sheetFormatPr defaultColWidth="9.140625" defaultRowHeight="12.75"/>
  <cols>
    <col min="1" max="1" width="4.28125" style="17" customWidth="1"/>
    <col min="2" max="2" width="49.421875" style="47" customWidth="1"/>
    <col min="3" max="3" width="3.8515625" style="65" customWidth="1"/>
    <col min="4" max="4" width="8.57421875" style="65" bestFit="1" customWidth="1"/>
    <col min="5" max="5" width="10.00390625" style="8" bestFit="1" customWidth="1"/>
    <col min="6" max="6" width="9.140625" style="8" customWidth="1"/>
    <col min="7" max="7" width="9.7109375" style="8" bestFit="1" customWidth="1"/>
    <col min="8" max="8" width="3.8515625" style="8" customWidth="1"/>
    <col min="9" max="9" width="8.57421875" style="65" bestFit="1" customWidth="1"/>
    <col min="10" max="10" width="9.57421875" style="8" customWidth="1"/>
    <col min="11" max="11" width="8.7109375" style="8" customWidth="1"/>
    <col min="12" max="12" width="8.8515625" style="8" customWidth="1"/>
    <col min="13" max="13" width="3.8515625" style="8" customWidth="1"/>
    <col min="14" max="14" width="29.281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2"/>
      <c r="I1" s="61"/>
      <c r="J1" s="12"/>
      <c r="K1" s="12"/>
      <c r="L1" s="12"/>
      <c r="M1" s="12"/>
      <c r="N1" s="35"/>
    </row>
    <row r="2" spans="1:14" s="1" customFormat="1" ht="19.5">
      <c r="A2" s="262" t="s">
        <v>405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2"/>
      <c r="D3" s="62"/>
      <c r="E3" s="7"/>
      <c r="F3" s="7"/>
      <c r="G3" s="7"/>
      <c r="H3" s="7"/>
      <c r="I3" s="62"/>
      <c r="J3" s="7"/>
      <c r="K3" s="7"/>
      <c r="L3" s="30"/>
      <c r="M3" s="7"/>
      <c r="N3" s="33" t="s">
        <v>450</v>
      </c>
    </row>
    <row r="4" spans="1:14" s="127" customFormat="1" ht="15.75">
      <c r="A4" s="123"/>
      <c r="B4" s="446"/>
      <c r="C4" s="135"/>
      <c r="D4" s="403" t="s">
        <v>132</v>
      </c>
      <c r="E4" s="404"/>
      <c r="F4" s="404"/>
      <c r="G4" s="405"/>
      <c r="H4" s="125"/>
      <c r="I4" s="403" t="s">
        <v>133</v>
      </c>
      <c r="J4" s="404"/>
      <c r="K4" s="404"/>
      <c r="L4" s="405"/>
      <c r="M4" s="125"/>
      <c r="N4" s="126"/>
    </row>
    <row r="5" spans="1:14" ht="39" customHeight="1">
      <c r="A5" s="112" t="s">
        <v>399</v>
      </c>
      <c r="B5" s="113"/>
      <c r="C5" s="75"/>
      <c r="D5" s="407" t="s">
        <v>136</v>
      </c>
      <c r="E5" s="408" t="s">
        <v>137</v>
      </c>
      <c r="F5" s="408" t="s">
        <v>138</v>
      </c>
      <c r="G5" s="409" t="s">
        <v>139</v>
      </c>
      <c r="H5" s="79"/>
      <c r="I5" s="407" t="s">
        <v>136</v>
      </c>
      <c r="J5" s="408" t="s">
        <v>137</v>
      </c>
      <c r="K5" s="408" t="s">
        <v>138</v>
      </c>
      <c r="L5" s="409" t="s">
        <v>139</v>
      </c>
      <c r="M5" s="79"/>
      <c r="N5" s="40" t="s">
        <v>400</v>
      </c>
    </row>
    <row r="6" spans="1:14" s="17" customFormat="1" ht="12">
      <c r="A6" s="59"/>
      <c r="B6" s="447"/>
      <c r="C6" s="76"/>
      <c r="D6" s="415"/>
      <c r="E6" s="416"/>
      <c r="F6" s="416"/>
      <c r="G6" s="417"/>
      <c r="H6" s="81"/>
      <c r="I6" s="415"/>
      <c r="J6" s="416"/>
      <c r="K6" s="416"/>
      <c r="L6" s="417"/>
      <c r="M6" s="81"/>
      <c r="N6" s="50"/>
    </row>
    <row r="7" spans="1:14" s="42" customFormat="1" ht="30.75" customHeight="1">
      <c r="A7" s="561" t="s">
        <v>51</v>
      </c>
      <c r="B7" s="562"/>
      <c r="C7" s="387"/>
      <c r="D7" s="243">
        <f>SUM(D8:D14)</f>
        <v>6999</v>
      </c>
      <c r="E7" s="243"/>
      <c r="F7" s="243"/>
      <c r="G7" s="243"/>
      <c r="H7" s="82"/>
      <c r="I7" s="243">
        <f>SUM(I8:I14)</f>
        <v>6999</v>
      </c>
      <c r="J7" s="243"/>
      <c r="K7" s="243"/>
      <c r="L7" s="243"/>
      <c r="M7" s="82"/>
      <c r="N7" s="396"/>
    </row>
    <row r="8" spans="1:20" s="48" customFormat="1" ht="24">
      <c r="A8" s="56"/>
      <c r="B8" s="459" t="s">
        <v>60</v>
      </c>
      <c r="C8" s="78"/>
      <c r="D8" s="98"/>
      <c r="E8" s="98"/>
      <c r="F8" s="98"/>
      <c r="G8" s="98"/>
      <c r="H8" s="44"/>
      <c r="I8" s="98"/>
      <c r="J8" s="98"/>
      <c r="K8" s="98"/>
      <c r="L8" s="98"/>
      <c r="M8" s="44"/>
      <c r="N8" s="346"/>
      <c r="O8" s="42"/>
      <c r="P8" s="42"/>
      <c r="Q8" s="42"/>
      <c r="R8" s="42"/>
      <c r="S8" s="42"/>
      <c r="T8" s="42"/>
    </row>
    <row r="9" spans="1:20" s="48" customFormat="1" ht="12">
      <c r="A9" s="155"/>
      <c r="B9" s="448" t="s">
        <v>205</v>
      </c>
      <c r="C9" s="78"/>
      <c r="D9" s="98">
        <v>3076</v>
      </c>
      <c r="E9" s="98" t="s">
        <v>155</v>
      </c>
      <c r="F9" s="98" t="s">
        <v>165</v>
      </c>
      <c r="G9" s="259">
        <v>36956</v>
      </c>
      <c r="H9" s="44"/>
      <c r="I9" s="98">
        <v>3076</v>
      </c>
      <c r="J9" s="98" t="s">
        <v>155</v>
      </c>
      <c r="K9" s="98" t="s">
        <v>239</v>
      </c>
      <c r="L9" s="259">
        <v>37015</v>
      </c>
      <c r="M9" s="44"/>
      <c r="N9" s="346"/>
      <c r="O9" s="42"/>
      <c r="P9" s="42"/>
      <c r="Q9" s="42"/>
      <c r="R9" s="42"/>
      <c r="S9" s="42"/>
      <c r="T9" s="42"/>
    </row>
    <row r="10" spans="1:44" s="48" customFormat="1" ht="12">
      <c r="A10" s="155"/>
      <c r="B10" s="448" t="s">
        <v>169</v>
      </c>
      <c r="C10" s="78"/>
      <c r="D10" s="98">
        <v>462</v>
      </c>
      <c r="E10" s="98" t="s">
        <v>155</v>
      </c>
      <c r="F10" s="98" t="s">
        <v>168</v>
      </c>
      <c r="G10" s="259">
        <v>36963</v>
      </c>
      <c r="H10" s="44"/>
      <c r="I10" s="98">
        <v>462</v>
      </c>
      <c r="J10" s="98" t="s">
        <v>155</v>
      </c>
      <c r="K10" s="98" t="s">
        <v>145</v>
      </c>
      <c r="L10" s="259">
        <v>37053</v>
      </c>
      <c r="M10" s="235"/>
      <c r="N10" s="306"/>
      <c r="O10" s="315"/>
      <c r="P10" s="315"/>
      <c r="Q10" s="315"/>
      <c r="R10" s="315"/>
      <c r="S10" s="315"/>
      <c r="T10" s="315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</row>
    <row r="11" spans="1:20" s="48" customFormat="1" ht="24">
      <c r="A11" s="155"/>
      <c r="B11" s="448" t="s">
        <v>170</v>
      </c>
      <c r="C11" s="78"/>
      <c r="D11" s="98">
        <v>462</v>
      </c>
      <c r="E11" s="98" t="s">
        <v>155</v>
      </c>
      <c r="F11" s="98" t="s">
        <v>171</v>
      </c>
      <c r="G11" s="259">
        <v>36963</v>
      </c>
      <c r="H11" s="44"/>
      <c r="I11" s="98">
        <v>462</v>
      </c>
      <c r="J11" s="98" t="s">
        <v>155</v>
      </c>
      <c r="K11" s="98" t="s">
        <v>145</v>
      </c>
      <c r="L11" s="422" t="s">
        <v>6</v>
      </c>
      <c r="M11" s="44"/>
      <c r="N11" s="346"/>
      <c r="O11" s="42"/>
      <c r="P11" s="42"/>
      <c r="Q11" s="42"/>
      <c r="R11" s="42"/>
      <c r="S11" s="42"/>
      <c r="T11" s="42"/>
    </row>
    <row r="12" spans="1:20" s="238" customFormat="1" ht="24">
      <c r="A12" s="155"/>
      <c r="B12" s="448" t="s">
        <v>8</v>
      </c>
      <c r="C12" s="78"/>
      <c r="D12" s="98">
        <v>466</v>
      </c>
      <c r="E12" s="98" t="s">
        <v>155</v>
      </c>
      <c r="F12" s="98" t="s">
        <v>145</v>
      </c>
      <c r="G12" s="259">
        <v>37081</v>
      </c>
      <c r="H12" s="235"/>
      <c r="I12" s="98">
        <v>466</v>
      </c>
      <c r="J12" s="98" t="s">
        <v>155</v>
      </c>
      <c r="K12" s="98" t="s">
        <v>145</v>
      </c>
      <c r="L12" s="259">
        <v>37172</v>
      </c>
      <c r="M12" s="235"/>
      <c r="N12" s="306"/>
      <c r="O12" s="315"/>
      <c r="P12" s="315"/>
      <c r="Q12" s="315"/>
      <c r="R12" s="315"/>
      <c r="S12" s="315"/>
      <c r="T12" s="315"/>
    </row>
    <row r="13" spans="1:20" s="238" customFormat="1" ht="12">
      <c r="A13" s="155"/>
      <c r="B13" s="448" t="s">
        <v>343</v>
      </c>
      <c r="C13" s="78"/>
      <c r="D13" s="98">
        <f>3734-1700</f>
        <v>2034</v>
      </c>
      <c r="E13" s="98" t="s">
        <v>155</v>
      </c>
      <c r="F13" s="98" t="s">
        <v>145</v>
      </c>
      <c r="G13" s="259">
        <v>37105</v>
      </c>
      <c r="H13" s="235"/>
      <c r="I13" s="98">
        <v>2034</v>
      </c>
      <c r="J13" s="98" t="s">
        <v>155</v>
      </c>
      <c r="K13" s="98" t="s">
        <v>145</v>
      </c>
      <c r="L13" s="422">
        <v>37203</v>
      </c>
      <c r="M13" s="235"/>
      <c r="N13" s="306"/>
      <c r="O13" s="315"/>
      <c r="P13" s="315"/>
      <c r="Q13" s="315"/>
      <c r="R13" s="315"/>
      <c r="S13" s="315"/>
      <c r="T13" s="315"/>
    </row>
    <row r="14" spans="1:20" s="48" customFormat="1" ht="24">
      <c r="A14" s="56"/>
      <c r="B14" s="449" t="s">
        <v>406</v>
      </c>
      <c r="C14" s="78"/>
      <c r="D14" s="98">
        <v>499</v>
      </c>
      <c r="E14" s="98" t="s">
        <v>155</v>
      </c>
      <c r="F14" s="98" t="s">
        <v>145</v>
      </c>
      <c r="G14" s="259">
        <v>37189</v>
      </c>
      <c r="H14" s="44"/>
      <c r="I14" s="98">
        <v>499</v>
      </c>
      <c r="J14" s="98" t="s">
        <v>155</v>
      </c>
      <c r="K14" s="98" t="s">
        <v>145</v>
      </c>
      <c r="L14" s="259">
        <v>37189</v>
      </c>
      <c r="M14" s="44"/>
      <c r="N14" s="346" t="s">
        <v>201</v>
      </c>
      <c r="O14" s="42"/>
      <c r="P14" s="42"/>
      <c r="Q14" s="42"/>
      <c r="R14" s="42"/>
      <c r="S14" s="42"/>
      <c r="T14" s="42"/>
    </row>
    <row r="15" spans="1:20" s="18" customFormat="1" ht="24.75" customHeight="1">
      <c r="A15" s="56" t="s">
        <v>67</v>
      </c>
      <c r="B15" s="450"/>
      <c r="C15" s="397"/>
      <c r="D15" s="243">
        <f>SUM(D16:D16)</f>
        <v>500</v>
      </c>
      <c r="E15" s="243"/>
      <c r="F15" s="243"/>
      <c r="G15" s="243"/>
      <c r="H15" s="82"/>
      <c r="I15" s="243">
        <f>SUM(I16:I16)</f>
        <v>500</v>
      </c>
      <c r="J15" s="243"/>
      <c r="K15" s="243"/>
      <c r="L15" s="243"/>
      <c r="M15" s="82"/>
      <c r="N15" s="398"/>
      <c r="O15" s="42"/>
      <c r="P15" s="42"/>
      <c r="Q15" s="42"/>
      <c r="R15" s="42"/>
      <c r="S15" s="42"/>
      <c r="T15" s="42"/>
    </row>
    <row r="16" spans="1:20" s="20" customFormat="1" ht="13.5" customHeight="1">
      <c r="A16" s="56"/>
      <c r="B16" s="451" t="s">
        <v>95</v>
      </c>
      <c r="C16" s="78"/>
      <c r="D16" s="98">
        <v>500</v>
      </c>
      <c r="E16" s="98" t="s">
        <v>155</v>
      </c>
      <c r="F16" s="98" t="s">
        <v>145</v>
      </c>
      <c r="G16" s="259">
        <v>37020</v>
      </c>
      <c r="H16" s="44"/>
      <c r="I16" s="98">
        <v>500</v>
      </c>
      <c r="J16" s="98" t="s">
        <v>155</v>
      </c>
      <c r="K16" s="98" t="s">
        <v>145</v>
      </c>
      <c r="L16" s="259">
        <v>37096</v>
      </c>
      <c r="M16" s="44"/>
      <c r="N16" s="346"/>
      <c r="O16" s="42"/>
      <c r="P16" s="42"/>
      <c r="Q16" s="42"/>
      <c r="R16" s="42"/>
      <c r="S16" s="42"/>
      <c r="T16" s="42"/>
    </row>
    <row r="17" spans="1:20" s="18" customFormat="1" ht="24.75" customHeight="1">
      <c r="A17" s="155" t="s">
        <v>227</v>
      </c>
      <c r="B17" s="452"/>
      <c r="C17" s="78"/>
      <c r="D17" s="243">
        <f>SUM(D18:D18)</f>
        <v>18</v>
      </c>
      <c r="E17" s="243"/>
      <c r="F17" s="243"/>
      <c r="G17" s="243"/>
      <c r="H17" s="156"/>
      <c r="I17" s="243">
        <f>SUM(I18:I18)</f>
        <v>18</v>
      </c>
      <c r="J17" s="243"/>
      <c r="K17" s="243"/>
      <c r="L17" s="243"/>
      <c r="M17" s="156"/>
      <c r="N17" s="358"/>
      <c r="O17" s="42"/>
      <c r="P17" s="42"/>
      <c r="Q17" s="42"/>
      <c r="R17" s="42"/>
      <c r="S17" s="42"/>
      <c r="T17" s="42"/>
    </row>
    <row r="18" spans="1:20" s="20" customFormat="1" ht="13.5" customHeight="1">
      <c r="A18" s="155"/>
      <c r="B18" s="453" t="s">
        <v>228</v>
      </c>
      <c r="C18" s="78"/>
      <c r="D18" s="98">
        <v>18</v>
      </c>
      <c r="E18" s="98" t="s">
        <v>155</v>
      </c>
      <c r="F18" s="98" t="s">
        <v>145</v>
      </c>
      <c r="G18" s="259">
        <v>36991</v>
      </c>
      <c r="H18" s="235"/>
      <c r="I18" s="98">
        <v>18</v>
      </c>
      <c r="J18" s="98" t="s">
        <v>155</v>
      </c>
      <c r="K18" s="98" t="s">
        <v>145</v>
      </c>
      <c r="L18" s="259">
        <v>36991</v>
      </c>
      <c r="M18" s="235"/>
      <c r="N18" s="306" t="s">
        <v>156</v>
      </c>
      <c r="O18" s="42"/>
      <c r="P18" s="42"/>
      <c r="Q18" s="42"/>
      <c r="R18" s="42"/>
      <c r="S18" s="42"/>
      <c r="T18" s="42"/>
    </row>
    <row r="19" spans="1:20" s="18" customFormat="1" ht="24.75" customHeight="1">
      <c r="A19" s="56" t="s">
        <v>375</v>
      </c>
      <c r="B19" s="450"/>
      <c r="C19" s="397"/>
      <c r="D19" s="243">
        <f>SUM(D20:D22)</f>
        <v>442</v>
      </c>
      <c r="E19" s="243"/>
      <c r="F19" s="243"/>
      <c r="G19" s="243"/>
      <c r="H19" s="82"/>
      <c r="I19" s="243">
        <f>SUM(I20:I22)</f>
        <v>442</v>
      </c>
      <c r="J19" s="243"/>
      <c r="K19" s="243"/>
      <c r="L19" s="243"/>
      <c r="M19" s="82"/>
      <c r="N19" s="398"/>
      <c r="O19" s="42"/>
      <c r="P19" s="42"/>
      <c r="Q19" s="42"/>
      <c r="R19" s="42"/>
      <c r="S19" s="42"/>
      <c r="T19" s="42"/>
    </row>
    <row r="20" spans="1:14" s="237" customFormat="1" ht="24">
      <c r="A20" s="155"/>
      <c r="B20" s="454" t="s">
        <v>123</v>
      </c>
      <c r="C20" s="78"/>
      <c r="D20" s="98"/>
      <c r="E20" s="98"/>
      <c r="F20" s="243"/>
      <c r="G20" s="243"/>
      <c r="H20" s="156"/>
      <c r="I20" s="98"/>
      <c r="J20" s="98"/>
      <c r="K20" s="243"/>
      <c r="L20" s="243"/>
      <c r="M20" s="156"/>
      <c r="N20" s="331"/>
    </row>
    <row r="21" spans="1:14" s="237" customFormat="1" ht="12">
      <c r="A21" s="155"/>
      <c r="B21" s="343" t="s">
        <v>9</v>
      </c>
      <c r="C21" s="78"/>
      <c r="D21" s="98">
        <v>300</v>
      </c>
      <c r="E21" s="98" t="s">
        <v>147</v>
      </c>
      <c r="F21" s="98" t="s">
        <v>145</v>
      </c>
      <c r="G21" s="259">
        <v>37099</v>
      </c>
      <c r="H21" s="156"/>
      <c r="I21" s="98">
        <v>300</v>
      </c>
      <c r="J21" s="98" t="s">
        <v>147</v>
      </c>
      <c r="K21" s="98" t="s">
        <v>145</v>
      </c>
      <c r="L21" s="259">
        <v>37099</v>
      </c>
      <c r="M21" s="156"/>
      <c r="N21" s="331" t="s">
        <v>281</v>
      </c>
    </row>
    <row r="22" spans="1:14" s="237" customFormat="1" ht="36">
      <c r="A22" s="155"/>
      <c r="B22" s="343" t="s">
        <v>341</v>
      </c>
      <c r="C22" s="78"/>
      <c r="D22" s="98">
        <v>142</v>
      </c>
      <c r="E22" s="98" t="s">
        <v>339</v>
      </c>
      <c r="F22" s="98" t="s">
        <v>145</v>
      </c>
      <c r="G22" s="259">
        <v>37215</v>
      </c>
      <c r="H22" s="156"/>
      <c r="I22" s="98">
        <v>142</v>
      </c>
      <c r="J22" s="98" t="s">
        <v>339</v>
      </c>
      <c r="K22" s="98" t="s">
        <v>145</v>
      </c>
      <c r="L22" s="259">
        <v>37215</v>
      </c>
      <c r="M22" s="156"/>
      <c r="N22" s="331"/>
    </row>
    <row r="23" spans="1:20" s="18" customFormat="1" ht="24.75" customHeight="1">
      <c r="A23" s="56" t="s">
        <v>374</v>
      </c>
      <c r="B23" s="450"/>
      <c r="C23" s="397"/>
      <c r="D23" s="243">
        <f>SUM(D24:D32)</f>
        <v>1866</v>
      </c>
      <c r="E23" s="243"/>
      <c r="F23" s="243"/>
      <c r="G23" s="243"/>
      <c r="H23" s="82"/>
      <c r="I23" s="243">
        <f>SUM(I24:I32)</f>
        <v>1866</v>
      </c>
      <c r="J23" s="243"/>
      <c r="K23" s="243"/>
      <c r="L23" s="243"/>
      <c r="M23" s="82"/>
      <c r="N23" s="398"/>
      <c r="O23" s="42"/>
      <c r="P23" s="42"/>
      <c r="Q23" s="42"/>
      <c r="R23" s="42"/>
      <c r="S23" s="42"/>
      <c r="T23" s="42"/>
    </row>
    <row r="24" spans="1:14" s="237" customFormat="1" ht="36">
      <c r="A24" s="155"/>
      <c r="B24" s="454" t="s">
        <v>35</v>
      </c>
      <c r="C24" s="78"/>
      <c r="D24" s="98">
        <v>46</v>
      </c>
      <c r="E24" s="98" t="s">
        <v>155</v>
      </c>
      <c r="F24" s="98" t="s">
        <v>145</v>
      </c>
      <c r="G24" s="259">
        <v>37085</v>
      </c>
      <c r="H24" s="156"/>
      <c r="I24" s="98">
        <v>46</v>
      </c>
      <c r="J24" s="98" t="s">
        <v>155</v>
      </c>
      <c r="K24" s="98" t="s">
        <v>145</v>
      </c>
      <c r="L24" s="259">
        <v>37085</v>
      </c>
      <c r="M24" s="156"/>
      <c r="N24" s="306" t="s">
        <v>316</v>
      </c>
    </row>
    <row r="25" spans="1:14" s="237" customFormat="1" ht="24">
      <c r="A25" s="155"/>
      <c r="B25" s="454" t="s">
        <v>128</v>
      </c>
      <c r="C25" s="78"/>
      <c r="D25" s="98">
        <v>160</v>
      </c>
      <c r="E25" s="98" t="s">
        <v>153</v>
      </c>
      <c r="F25" s="98" t="s">
        <v>145</v>
      </c>
      <c r="G25" s="259">
        <v>37153</v>
      </c>
      <c r="H25" s="156"/>
      <c r="I25" s="98">
        <v>160</v>
      </c>
      <c r="J25" s="98" t="s">
        <v>153</v>
      </c>
      <c r="K25" s="98" t="s">
        <v>145</v>
      </c>
      <c r="L25" s="259">
        <v>37153</v>
      </c>
      <c r="M25" s="156"/>
      <c r="N25" s="306" t="s">
        <v>129</v>
      </c>
    </row>
    <row r="26" spans="1:14" s="237" customFormat="1" ht="12">
      <c r="A26" s="155"/>
      <c r="B26" s="453" t="s">
        <v>74</v>
      </c>
      <c r="C26" s="78"/>
      <c r="D26" s="98"/>
      <c r="E26" s="98"/>
      <c r="F26" s="98"/>
      <c r="G26" s="243"/>
      <c r="H26" s="156"/>
      <c r="I26" s="98"/>
      <c r="J26" s="98"/>
      <c r="K26" s="98"/>
      <c r="L26" s="243"/>
      <c r="M26" s="156"/>
      <c r="N26" s="306"/>
    </row>
    <row r="27" spans="1:14" s="237" customFormat="1" ht="24">
      <c r="A27" s="155"/>
      <c r="B27" s="343" t="s">
        <v>116</v>
      </c>
      <c r="C27" s="78"/>
      <c r="D27" s="98">
        <v>400</v>
      </c>
      <c r="E27" s="98" t="s">
        <v>155</v>
      </c>
      <c r="F27" s="98" t="s">
        <v>145</v>
      </c>
      <c r="G27" s="259">
        <v>37131</v>
      </c>
      <c r="H27" s="156"/>
      <c r="I27" s="98">
        <v>400</v>
      </c>
      <c r="J27" s="98" t="s">
        <v>155</v>
      </c>
      <c r="K27" s="98" t="s">
        <v>335</v>
      </c>
      <c r="L27" s="259">
        <v>37235</v>
      </c>
      <c r="M27" s="156"/>
      <c r="N27" s="306"/>
    </row>
    <row r="28" spans="1:14" s="237" customFormat="1" ht="24">
      <c r="A28" s="155"/>
      <c r="B28" s="343" t="s">
        <v>417</v>
      </c>
      <c r="C28" s="78"/>
      <c r="D28" s="98">
        <v>1100</v>
      </c>
      <c r="E28" s="98" t="s">
        <v>155</v>
      </c>
      <c r="F28" s="98" t="s">
        <v>145</v>
      </c>
      <c r="G28" s="259">
        <v>37160</v>
      </c>
      <c r="H28" s="156"/>
      <c r="I28" s="98">
        <v>1100</v>
      </c>
      <c r="J28" s="98" t="s">
        <v>155</v>
      </c>
      <c r="K28" s="98" t="s">
        <v>335</v>
      </c>
      <c r="L28" s="259">
        <v>37235</v>
      </c>
      <c r="M28" s="156"/>
      <c r="N28" s="306"/>
    </row>
    <row r="29" spans="1:14" s="237" customFormat="1" ht="12">
      <c r="A29" s="155"/>
      <c r="B29" s="453" t="s">
        <v>333</v>
      </c>
      <c r="C29" s="78"/>
      <c r="D29" s="98">
        <v>25</v>
      </c>
      <c r="E29" s="98" t="s">
        <v>155</v>
      </c>
      <c r="F29" s="98" t="s">
        <v>145</v>
      </c>
      <c r="G29" s="259">
        <v>37235</v>
      </c>
      <c r="H29" s="156"/>
      <c r="I29" s="98">
        <v>25</v>
      </c>
      <c r="J29" s="98" t="s">
        <v>155</v>
      </c>
      <c r="K29" s="98" t="s">
        <v>145</v>
      </c>
      <c r="L29" s="259">
        <v>37235</v>
      </c>
      <c r="M29" s="156"/>
      <c r="N29" s="306" t="s">
        <v>156</v>
      </c>
    </row>
    <row r="30" spans="1:14" s="237" customFormat="1" ht="12">
      <c r="A30" s="155"/>
      <c r="B30" s="453" t="s">
        <v>333</v>
      </c>
      <c r="C30" s="78"/>
      <c r="D30" s="98">
        <v>4</v>
      </c>
      <c r="E30" s="98" t="s">
        <v>155</v>
      </c>
      <c r="F30" s="98" t="s">
        <v>145</v>
      </c>
      <c r="G30" s="259">
        <v>37160</v>
      </c>
      <c r="H30" s="156"/>
      <c r="I30" s="98">
        <v>4</v>
      </c>
      <c r="J30" s="98" t="s">
        <v>155</v>
      </c>
      <c r="K30" s="98" t="s">
        <v>145</v>
      </c>
      <c r="L30" s="259">
        <v>37160</v>
      </c>
      <c r="M30" s="156"/>
      <c r="N30" s="306" t="s">
        <v>156</v>
      </c>
    </row>
    <row r="31" spans="1:14" s="237" customFormat="1" ht="12">
      <c r="A31" s="155"/>
      <c r="B31" s="453" t="s">
        <v>333</v>
      </c>
      <c r="C31" s="78"/>
      <c r="D31" s="98">
        <v>60</v>
      </c>
      <c r="E31" s="98" t="s">
        <v>155</v>
      </c>
      <c r="F31" s="98" t="s">
        <v>145</v>
      </c>
      <c r="G31" s="259">
        <v>37106</v>
      </c>
      <c r="H31" s="156"/>
      <c r="I31" s="98">
        <v>60</v>
      </c>
      <c r="J31" s="98" t="s">
        <v>155</v>
      </c>
      <c r="K31" s="98" t="s">
        <v>145</v>
      </c>
      <c r="L31" s="259">
        <v>37106</v>
      </c>
      <c r="M31" s="156"/>
      <c r="N31" s="306" t="s">
        <v>156</v>
      </c>
    </row>
    <row r="32" spans="1:14" s="237" customFormat="1" ht="24">
      <c r="A32" s="155"/>
      <c r="B32" s="454" t="s">
        <v>259</v>
      </c>
      <c r="C32" s="78"/>
      <c r="D32" s="98">
        <v>71</v>
      </c>
      <c r="E32" s="98" t="s">
        <v>155</v>
      </c>
      <c r="F32" s="98" t="s">
        <v>145</v>
      </c>
      <c r="G32" s="259">
        <v>37098</v>
      </c>
      <c r="H32" s="156"/>
      <c r="I32" s="98">
        <v>71</v>
      </c>
      <c r="J32" s="98" t="s">
        <v>155</v>
      </c>
      <c r="K32" s="98" t="s">
        <v>145</v>
      </c>
      <c r="L32" s="259">
        <v>37098</v>
      </c>
      <c r="M32" s="156"/>
      <c r="N32" s="306" t="s">
        <v>260</v>
      </c>
    </row>
    <row r="33" spans="1:14" s="157" customFormat="1" ht="24.75" customHeight="1">
      <c r="A33" s="155" t="s">
        <v>376</v>
      </c>
      <c r="B33" s="455"/>
      <c r="C33" s="78"/>
      <c r="D33" s="243">
        <f>SUM(D34:D40)</f>
        <v>345</v>
      </c>
      <c r="E33" s="243"/>
      <c r="F33" s="243"/>
      <c r="G33" s="243"/>
      <c r="H33" s="156"/>
      <c r="I33" s="243">
        <f>SUM(I34:I40)</f>
        <v>345</v>
      </c>
      <c r="J33" s="243"/>
      <c r="K33" s="243"/>
      <c r="L33" s="243"/>
      <c r="M33" s="156"/>
      <c r="N33" s="358"/>
    </row>
    <row r="34" spans="1:14" s="20" customFormat="1" ht="36">
      <c r="A34" s="56"/>
      <c r="B34" s="456" t="s">
        <v>342</v>
      </c>
      <c r="C34" s="78"/>
      <c r="D34" s="98">
        <v>16</v>
      </c>
      <c r="E34" s="98" t="s">
        <v>144</v>
      </c>
      <c r="F34" s="98" t="s">
        <v>145</v>
      </c>
      <c r="G34" s="259">
        <v>37236</v>
      </c>
      <c r="H34" s="44"/>
      <c r="I34" s="98">
        <v>16</v>
      </c>
      <c r="J34" s="98" t="s">
        <v>144</v>
      </c>
      <c r="K34" s="98" t="s">
        <v>145</v>
      </c>
      <c r="L34" s="259">
        <v>37236</v>
      </c>
      <c r="M34" s="44"/>
      <c r="N34" s="349"/>
    </row>
    <row r="35" spans="1:14" s="20" customFormat="1" ht="36">
      <c r="A35" s="56"/>
      <c r="B35" s="456" t="s">
        <v>193</v>
      </c>
      <c r="C35" s="78"/>
      <c r="D35" s="98">
        <v>72</v>
      </c>
      <c r="E35" s="98" t="s">
        <v>155</v>
      </c>
      <c r="F35" s="98" t="s">
        <v>203</v>
      </c>
      <c r="G35" s="259">
        <v>36970</v>
      </c>
      <c r="H35" s="44"/>
      <c r="I35" s="98">
        <v>72</v>
      </c>
      <c r="J35" s="98" t="s">
        <v>155</v>
      </c>
      <c r="K35" s="98" t="s">
        <v>203</v>
      </c>
      <c r="L35" s="259">
        <v>36970</v>
      </c>
      <c r="M35" s="44"/>
      <c r="N35" s="349" t="s">
        <v>195</v>
      </c>
    </row>
    <row r="36" spans="1:14" s="20" customFormat="1" ht="36">
      <c r="A36" s="56"/>
      <c r="B36" s="456" t="s">
        <v>196</v>
      </c>
      <c r="C36" s="78"/>
      <c r="D36" s="98">
        <v>88</v>
      </c>
      <c r="E36" s="98" t="s">
        <v>197</v>
      </c>
      <c r="F36" s="98" t="s">
        <v>194</v>
      </c>
      <c r="G36" s="259">
        <v>36970</v>
      </c>
      <c r="H36" s="44"/>
      <c r="I36" s="98">
        <v>88</v>
      </c>
      <c r="J36" s="98" t="s">
        <v>197</v>
      </c>
      <c r="K36" s="98" t="s">
        <v>194</v>
      </c>
      <c r="L36" s="259">
        <v>36970</v>
      </c>
      <c r="M36" s="44"/>
      <c r="N36" s="349" t="s">
        <v>199</v>
      </c>
    </row>
    <row r="37" spans="1:14" s="20" customFormat="1" ht="12">
      <c r="A37" s="56"/>
      <c r="B37" s="456"/>
      <c r="C37" s="78"/>
      <c r="D37" s="98">
        <v>53</v>
      </c>
      <c r="E37" s="98" t="s">
        <v>198</v>
      </c>
      <c r="F37" s="98"/>
      <c r="G37" s="259"/>
      <c r="H37" s="44"/>
      <c r="I37" s="98">
        <v>53</v>
      </c>
      <c r="J37" s="98" t="s">
        <v>198</v>
      </c>
      <c r="K37" s="98"/>
      <c r="L37" s="259"/>
      <c r="M37" s="44"/>
      <c r="N37" s="349"/>
    </row>
    <row r="38" spans="1:14" s="20" customFormat="1" ht="12">
      <c r="A38" s="56"/>
      <c r="B38" s="456"/>
      <c r="C38" s="78"/>
      <c r="D38" s="98">
        <v>50</v>
      </c>
      <c r="E38" s="98" t="s">
        <v>144</v>
      </c>
      <c r="F38" s="98"/>
      <c r="G38" s="259"/>
      <c r="H38" s="44"/>
      <c r="I38" s="98">
        <v>50</v>
      </c>
      <c r="J38" s="98" t="s">
        <v>144</v>
      </c>
      <c r="K38" s="98"/>
      <c r="L38" s="259"/>
      <c r="M38" s="44"/>
      <c r="N38" s="349"/>
    </row>
    <row r="39" spans="1:14" s="20" customFormat="1" ht="12">
      <c r="A39" s="56"/>
      <c r="B39" s="457" t="s">
        <v>245</v>
      </c>
      <c r="C39" s="78"/>
      <c r="D39" s="98">
        <v>23</v>
      </c>
      <c r="E39" s="98" t="s">
        <v>144</v>
      </c>
      <c r="F39" s="98" t="s">
        <v>145</v>
      </c>
      <c r="G39" s="259">
        <v>36893</v>
      </c>
      <c r="H39" s="44"/>
      <c r="I39" s="98">
        <v>23</v>
      </c>
      <c r="J39" s="98" t="s">
        <v>144</v>
      </c>
      <c r="K39" s="98" t="s">
        <v>145</v>
      </c>
      <c r="L39" s="259">
        <v>36893</v>
      </c>
      <c r="M39" s="44"/>
      <c r="N39" s="389"/>
    </row>
    <row r="40" spans="1:14" s="20" customFormat="1" ht="12">
      <c r="A40" s="56"/>
      <c r="B40" s="457" t="s">
        <v>157</v>
      </c>
      <c r="C40" s="78"/>
      <c r="D40" s="98">
        <v>43</v>
      </c>
      <c r="E40" s="98" t="s">
        <v>142</v>
      </c>
      <c r="F40" s="98" t="s">
        <v>145</v>
      </c>
      <c r="G40" s="259">
        <v>36901</v>
      </c>
      <c r="H40" s="44"/>
      <c r="I40" s="98">
        <v>43</v>
      </c>
      <c r="J40" s="98" t="s">
        <v>142</v>
      </c>
      <c r="K40" s="98" t="s">
        <v>145</v>
      </c>
      <c r="L40" s="259">
        <v>36901</v>
      </c>
      <c r="M40" s="44"/>
      <c r="N40" s="389"/>
    </row>
    <row r="41" spans="1:14" s="20" customFormat="1" ht="12">
      <c r="A41" s="56"/>
      <c r="B41" s="457"/>
      <c r="C41" s="78"/>
      <c r="D41" s="98"/>
      <c r="E41" s="98"/>
      <c r="F41" s="98"/>
      <c r="G41" s="259"/>
      <c r="H41" s="44"/>
      <c r="I41" s="98"/>
      <c r="J41" s="98"/>
      <c r="K41" s="98"/>
      <c r="L41" s="259"/>
      <c r="M41" s="44"/>
      <c r="N41" s="389"/>
    </row>
    <row r="42" spans="1:14" s="424" customFormat="1" ht="31.5" customHeight="1">
      <c r="A42" s="269"/>
      <c r="B42" s="458" t="s">
        <v>206</v>
      </c>
      <c r="C42" s="277"/>
      <c r="D42" s="271">
        <f>D7+D15+D23+D33+D17+D19</f>
        <v>10170</v>
      </c>
      <c r="E42" s="271"/>
      <c r="F42" s="271"/>
      <c r="G42" s="271"/>
      <c r="H42" s="278"/>
      <c r="I42" s="271">
        <f>I7+I15+I23+I33+I17+I19</f>
        <v>10170</v>
      </c>
      <c r="J42" s="271"/>
      <c r="K42" s="271"/>
      <c r="L42" s="271"/>
      <c r="M42" s="278"/>
      <c r="N42" s="423"/>
    </row>
    <row r="43" spans="2:14" s="48" customFormat="1" ht="12">
      <c r="B43" s="9"/>
      <c r="C43" s="140"/>
      <c r="D43" s="140"/>
      <c r="E43" s="45"/>
      <c r="F43" s="45"/>
      <c r="G43" s="45"/>
      <c r="H43" s="45"/>
      <c r="I43" s="140"/>
      <c r="J43" s="45"/>
      <c r="K43" s="45"/>
      <c r="L43" s="45"/>
      <c r="M43" s="45"/>
      <c r="N43" s="46"/>
    </row>
    <row r="44" spans="2:14" s="48" customFormat="1" ht="12">
      <c r="B44" s="47"/>
      <c r="C44" s="140"/>
      <c r="D44" s="140"/>
      <c r="E44" s="45"/>
      <c r="F44" s="45"/>
      <c r="G44" s="45"/>
      <c r="H44" s="45"/>
      <c r="I44" s="140"/>
      <c r="J44" s="45"/>
      <c r="K44" s="45"/>
      <c r="L44" s="45"/>
      <c r="M44" s="45"/>
      <c r="N44" s="46"/>
    </row>
    <row r="45" spans="2:14" s="48" customFormat="1" ht="12">
      <c r="B45" s="47"/>
      <c r="C45" s="140"/>
      <c r="D45" s="140"/>
      <c r="E45" s="45"/>
      <c r="F45" s="45"/>
      <c r="G45" s="45"/>
      <c r="H45" s="45"/>
      <c r="I45" s="140"/>
      <c r="J45" s="45"/>
      <c r="K45" s="45"/>
      <c r="L45" s="45"/>
      <c r="M45" s="45"/>
      <c r="N45" s="46"/>
    </row>
    <row r="46" spans="2:14" s="48" customFormat="1" ht="12">
      <c r="B46" s="47"/>
      <c r="C46" s="140"/>
      <c r="D46" s="140"/>
      <c r="E46" s="45"/>
      <c r="F46" s="45"/>
      <c r="G46" s="45"/>
      <c r="H46" s="45"/>
      <c r="I46" s="140"/>
      <c r="J46" s="45"/>
      <c r="K46" s="45"/>
      <c r="L46" s="45"/>
      <c r="M46" s="45"/>
      <c r="N46" s="46"/>
    </row>
    <row r="47" spans="2:14" s="48" customFormat="1" ht="12">
      <c r="B47" s="47"/>
      <c r="C47" s="140"/>
      <c r="D47" s="140"/>
      <c r="E47" s="45"/>
      <c r="F47" s="45"/>
      <c r="G47" s="45"/>
      <c r="H47" s="45"/>
      <c r="I47" s="140"/>
      <c r="J47" s="45"/>
      <c r="K47" s="45"/>
      <c r="L47" s="45"/>
      <c r="M47" s="45"/>
      <c r="N47" s="46"/>
    </row>
    <row r="48" spans="2:14" s="48" customFormat="1" ht="12">
      <c r="B48" s="47"/>
      <c r="C48" s="140"/>
      <c r="D48" s="140"/>
      <c r="E48" s="45"/>
      <c r="F48" s="45"/>
      <c r="G48" s="45"/>
      <c r="H48" s="45"/>
      <c r="I48" s="140"/>
      <c r="J48" s="45"/>
      <c r="K48" s="45"/>
      <c r="L48" s="45"/>
      <c r="M48" s="45"/>
      <c r="N48" s="46"/>
    </row>
  </sheetData>
  <mergeCells count="1">
    <mergeCell ref="A7:B7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8" useFirstPageNumber="1" horizontalDpi="600" verticalDpi="600" orientation="landscape" paperSize="9" scale="70" r:id="rId1"/>
  <headerFooter alignWithMargins="0">
    <oddFooter>&amp;R&amp;"Times New Roman,Grassetto"&amp;14&amp;P</oddFooter>
  </headerFooter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workbookViewId="0" topLeftCell="A52">
      <selection activeCell="A1" sqref="A1:D1"/>
    </sheetView>
  </sheetViews>
  <sheetFormatPr defaultColWidth="9.140625" defaultRowHeight="12.75"/>
  <cols>
    <col min="1" max="1" width="4.28125" style="17" customWidth="1"/>
    <col min="2" max="2" width="46.00390625" style="47" customWidth="1"/>
    <col min="3" max="3" width="3.8515625" style="67" customWidth="1"/>
    <col min="4" max="4" width="9.57421875" style="69" customWidth="1"/>
    <col min="5" max="5" width="10.00390625" style="8" customWidth="1"/>
    <col min="6" max="7" width="8.8515625" style="8" customWidth="1"/>
    <col min="8" max="8" width="3.8515625" style="91" customWidth="1"/>
    <col min="9" max="9" width="9.7109375" style="69" customWidth="1"/>
    <col min="10" max="10" width="9.8515625" style="8" customWidth="1"/>
    <col min="11" max="12" width="8.7109375" style="8" customWidth="1"/>
    <col min="13" max="13" width="3.8515625" style="91" customWidth="1"/>
    <col min="14" max="14" width="30.5742187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1"/>
      <c r="E1" s="12"/>
      <c r="F1" s="12"/>
      <c r="G1" s="12"/>
      <c r="H1" s="16"/>
      <c r="I1" s="61"/>
      <c r="J1" s="12"/>
      <c r="K1" s="12"/>
      <c r="L1" s="12"/>
      <c r="M1" s="16"/>
      <c r="N1" s="35"/>
    </row>
    <row r="2" spans="1:14" s="1" customFormat="1" ht="19.5">
      <c r="A2" s="262" t="s">
        <v>410</v>
      </c>
      <c r="B2" s="38"/>
      <c r="C2" s="61"/>
      <c r="D2" s="61"/>
      <c r="E2" s="16"/>
      <c r="F2" s="16"/>
      <c r="G2" s="6"/>
      <c r="H2" s="6"/>
      <c r="I2" s="61"/>
      <c r="J2" s="16"/>
      <c r="K2" s="16"/>
      <c r="L2" s="6"/>
      <c r="M2" s="6"/>
      <c r="N2" s="36"/>
    </row>
    <row r="3" spans="1:14" s="2" customFormat="1" ht="12">
      <c r="A3" s="43"/>
      <c r="B3" s="39"/>
      <c r="C3" s="67"/>
      <c r="D3" s="68"/>
      <c r="E3" s="7"/>
      <c r="F3" s="7"/>
      <c r="G3" s="30"/>
      <c r="H3" s="30"/>
      <c r="I3" s="68"/>
      <c r="J3" s="7"/>
      <c r="K3" s="7"/>
      <c r="L3" s="30"/>
      <c r="M3" s="30"/>
      <c r="N3" s="33" t="s">
        <v>450</v>
      </c>
    </row>
    <row r="4" spans="1:14" s="127" customFormat="1" ht="15.75">
      <c r="A4" s="121"/>
      <c r="B4" s="122"/>
      <c r="C4" s="124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26"/>
    </row>
    <row r="5" spans="1:14" ht="39" customHeight="1">
      <c r="A5" s="112" t="s">
        <v>399</v>
      </c>
      <c r="B5" s="113"/>
      <c r="C5" s="73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40" t="s">
        <v>400</v>
      </c>
    </row>
    <row r="6" spans="1:14" s="17" customFormat="1" ht="12">
      <c r="A6" s="58"/>
      <c r="B6" s="41"/>
      <c r="C6" s="63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50"/>
    </row>
    <row r="7" spans="1:14" s="48" customFormat="1" ht="21" customHeight="1">
      <c r="A7" s="155" t="s">
        <v>68</v>
      </c>
      <c r="B7" s="391"/>
      <c r="C7" s="66"/>
      <c r="D7" s="243">
        <f>SUM(D8:D11)</f>
        <v>1708</v>
      </c>
      <c r="E7" s="243"/>
      <c r="F7" s="243"/>
      <c r="G7" s="243"/>
      <c r="H7" s="236"/>
      <c r="I7" s="243">
        <f>SUM(I8:I11)</f>
        <v>1708</v>
      </c>
      <c r="J7" s="243"/>
      <c r="K7" s="243"/>
      <c r="L7" s="243"/>
      <c r="M7" s="235"/>
      <c r="N7" s="306"/>
    </row>
    <row r="8" spans="1:14" s="48" customFormat="1" ht="24">
      <c r="A8" s="155"/>
      <c r="B8" s="392" t="s">
        <v>69</v>
      </c>
      <c r="C8" s="66"/>
      <c r="D8" s="98"/>
      <c r="E8" s="98"/>
      <c r="F8" s="98"/>
      <c r="G8" s="98"/>
      <c r="H8" s="236"/>
      <c r="I8" s="98"/>
      <c r="J8" s="98"/>
      <c r="K8" s="98"/>
      <c r="L8" s="98"/>
      <c r="M8" s="235"/>
      <c r="N8" s="340"/>
    </row>
    <row r="9" spans="1:14" s="238" customFormat="1" ht="12">
      <c r="A9" s="155"/>
      <c r="B9" s="391" t="s">
        <v>231</v>
      </c>
      <c r="C9" s="66"/>
      <c r="D9" s="98">
        <v>1204</v>
      </c>
      <c r="E9" s="98" t="s">
        <v>155</v>
      </c>
      <c r="F9" s="98" t="s">
        <v>145</v>
      </c>
      <c r="G9" s="259">
        <v>36963</v>
      </c>
      <c r="H9" s="236"/>
      <c r="I9" s="98">
        <v>1204</v>
      </c>
      <c r="J9" s="98" t="s">
        <v>155</v>
      </c>
      <c r="K9" s="98" t="s">
        <v>145</v>
      </c>
      <c r="L9" s="259">
        <v>36963</v>
      </c>
      <c r="M9" s="235"/>
      <c r="N9" s="306" t="s">
        <v>156</v>
      </c>
    </row>
    <row r="10" spans="1:14" s="238" customFormat="1" ht="24">
      <c r="A10" s="155"/>
      <c r="B10" s="391" t="s">
        <v>229</v>
      </c>
      <c r="C10" s="66"/>
      <c r="D10" s="98">
        <v>461</v>
      </c>
      <c r="E10" s="98" t="s">
        <v>155</v>
      </c>
      <c r="F10" s="98" t="s">
        <v>145</v>
      </c>
      <c r="G10" s="259">
        <v>37127</v>
      </c>
      <c r="H10" s="236"/>
      <c r="I10" s="98">
        <v>461</v>
      </c>
      <c r="J10" s="98" t="s">
        <v>155</v>
      </c>
      <c r="K10" s="98" t="s">
        <v>145</v>
      </c>
      <c r="L10" s="259">
        <v>37127</v>
      </c>
      <c r="M10" s="235"/>
      <c r="N10" s="306" t="s">
        <v>156</v>
      </c>
    </row>
    <row r="11" spans="1:14" s="238" customFormat="1" ht="12">
      <c r="A11" s="155"/>
      <c r="B11" s="391" t="s">
        <v>291</v>
      </c>
      <c r="C11" s="66"/>
      <c r="D11" s="98">
        <v>43</v>
      </c>
      <c r="E11" s="98" t="s">
        <v>155</v>
      </c>
      <c r="F11" s="98" t="s">
        <v>145</v>
      </c>
      <c r="G11" s="259">
        <v>37243</v>
      </c>
      <c r="H11" s="236"/>
      <c r="I11" s="98">
        <v>43</v>
      </c>
      <c r="J11" s="98" t="s">
        <v>155</v>
      </c>
      <c r="K11" s="98" t="s">
        <v>145</v>
      </c>
      <c r="L11" s="259">
        <v>37243</v>
      </c>
      <c r="M11" s="235"/>
      <c r="N11" s="306" t="s">
        <v>156</v>
      </c>
    </row>
    <row r="12" spans="1:14" s="238" customFormat="1" ht="21" customHeight="1">
      <c r="A12" s="155" t="s">
        <v>411</v>
      </c>
      <c r="B12" s="391"/>
      <c r="C12" s="66"/>
      <c r="D12" s="243">
        <f>SUM(D13:D15)</f>
        <v>107</v>
      </c>
      <c r="E12" s="243"/>
      <c r="F12" s="243"/>
      <c r="G12" s="243"/>
      <c r="H12" s="236"/>
      <c r="I12" s="243">
        <f>SUM(I13:I15)</f>
        <v>107</v>
      </c>
      <c r="J12" s="243"/>
      <c r="K12" s="243"/>
      <c r="L12" s="243"/>
      <c r="M12" s="235"/>
      <c r="N12" s="306"/>
    </row>
    <row r="13" spans="1:14" s="238" customFormat="1" ht="12">
      <c r="A13" s="155"/>
      <c r="B13" s="392" t="s">
        <v>158</v>
      </c>
      <c r="C13" s="66"/>
      <c r="D13" s="98">
        <v>7</v>
      </c>
      <c r="E13" s="98" t="s">
        <v>155</v>
      </c>
      <c r="F13" s="98" t="s">
        <v>145</v>
      </c>
      <c r="G13" s="259">
        <v>36901</v>
      </c>
      <c r="H13" s="236"/>
      <c r="I13" s="98">
        <v>7</v>
      </c>
      <c r="J13" s="98" t="s">
        <v>155</v>
      </c>
      <c r="K13" s="98" t="s">
        <v>145</v>
      </c>
      <c r="L13" s="259">
        <v>36901</v>
      </c>
      <c r="M13" s="235"/>
      <c r="N13" s="306" t="s">
        <v>159</v>
      </c>
    </row>
    <row r="14" spans="1:14" s="238" customFormat="1" ht="24">
      <c r="A14" s="155"/>
      <c r="B14" s="392" t="s">
        <v>368</v>
      </c>
      <c r="C14" s="66"/>
      <c r="D14" s="98">
        <v>15</v>
      </c>
      <c r="E14" s="98" t="s">
        <v>155</v>
      </c>
      <c r="F14" s="98" t="s">
        <v>145</v>
      </c>
      <c r="G14" s="259">
        <v>37091</v>
      </c>
      <c r="H14" s="236"/>
      <c r="I14" s="98">
        <v>15</v>
      </c>
      <c r="J14" s="98" t="s">
        <v>155</v>
      </c>
      <c r="K14" s="98" t="s">
        <v>145</v>
      </c>
      <c r="L14" s="259">
        <v>37091</v>
      </c>
      <c r="M14" s="235"/>
      <c r="N14" s="306" t="s">
        <v>156</v>
      </c>
    </row>
    <row r="15" spans="1:14" s="238" customFormat="1" ht="12">
      <c r="A15" s="155"/>
      <c r="B15" s="392" t="s">
        <v>414</v>
      </c>
      <c r="C15" s="66"/>
      <c r="D15" s="98">
        <v>85</v>
      </c>
      <c r="E15" s="98" t="s">
        <v>155</v>
      </c>
      <c r="F15" s="98" t="s">
        <v>145</v>
      </c>
      <c r="G15" s="259">
        <v>37209</v>
      </c>
      <c r="H15" s="236"/>
      <c r="I15" s="98">
        <v>85</v>
      </c>
      <c r="J15" s="98" t="s">
        <v>155</v>
      </c>
      <c r="K15" s="98" t="s">
        <v>145</v>
      </c>
      <c r="L15" s="259">
        <v>37209</v>
      </c>
      <c r="M15" s="235"/>
      <c r="N15" s="306" t="s">
        <v>174</v>
      </c>
    </row>
    <row r="16" spans="1:14" s="315" customFormat="1" ht="24.75" customHeight="1">
      <c r="A16" s="155" t="s">
        <v>412</v>
      </c>
      <c r="B16" s="157"/>
      <c r="C16" s="66"/>
      <c r="D16" s="243">
        <f>SUM(D17:D20)</f>
        <v>868</v>
      </c>
      <c r="E16" s="243"/>
      <c r="F16" s="243"/>
      <c r="G16" s="243"/>
      <c r="H16" s="153"/>
      <c r="I16" s="243">
        <f>SUM(I17:I20)</f>
        <v>868</v>
      </c>
      <c r="J16" s="243"/>
      <c r="K16" s="243"/>
      <c r="L16" s="243"/>
      <c r="M16" s="156"/>
      <c r="N16" s="306"/>
    </row>
    <row r="17" spans="1:14" s="238" customFormat="1" ht="12">
      <c r="A17" s="155"/>
      <c r="B17" s="392" t="s">
        <v>413</v>
      </c>
      <c r="C17" s="66"/>
      <c r="D17" s="98">
        <v>800</v>
      </c>
      <c r="E17" s="98" t="s">
        <v>155</v>
      </c>
      <c r="F17" s="98" t="s">
        <v>145</v>
      </c>
      <c r="G17" s="259">
        <v>37152</v>
      </c>
      <c r="H17" s="236"/>
      <c r="I17" s="98">
        <v>800</v>
      </c>
      <c r="J17" s="98" t="s">
        <v>155</v>
      </c>
      <c r="K17" s="98" t="s">
        <v>335</v>
      </c>
      <c r="L17" s="259">
        <v>37235</v>
      </c>
      <c r="M17" s="235"/>
      <c r="N17" s="306"/>
    </row>
    <row r="18" spans="1:14" s="238" customFormat="1" ht="12">
      <c r="A18" s="155"/>
      <c r="B18" s="392" t="s">
        <v>173</v>
      </c>
      <c r="C18" s="66"/>
      <c r="D18" s="98">
        <v>8</v>
      </c>
      <c r="E18" s="98" t="s">
        <v>155</v>
      </c>
      <c r="F18" s="98" t="s">
        <v>145</v>
      </c>
      <c r="G18" s="259">
        <v>36923</v>
      </c>
      <c r="H18" s="236"/>
      <c r="I18" s="98">
        <v>8</v>
      </c>
      <c r="J18" s="98" t="s">
        <v>155</v>
      </c>
      <c r="K18" s="98" t="s">
        <v>145</v>
      </c>
      <c r="L18" s="259">
        <v>36923</v>
      </c>
      <c r="M18" s="235"/>
      <c r="N18" s="306" t="s">
        <v>174</v>
      </c>
    </row>
    <row r="19" spans="1:14" s="238" customFormat="1" ht="24">
      <c r="A19" s="155"/>
      <c r="B19" s="392" t="s">
        <v>27</v>
      </c>
      <c r="C19" s="66"/>
      <c r="D19" s="98">
        <v>46</v>
      </c>
      <c r="E19" s="98" t="s">
        <v>155</v>
      </c>
      <c r="F19" s="98" t="s">
        <v>145</v>
      </c>
      <c r="G19" s="259">
        <v>37053</v>
      </c>
      <c r="H19" s="236"/>
      <c r="I19" s="98">
        <v>46</v>
      </c>
      <c r="J19" s="98" t="s">
        <v>155</v>
      </c>
      <c r="K19" s="98" t="s">
        <v>145</v>
      </c>
      <c r="L19" s="259">
        <v>37053</v>
      </c>
      <c r="M19" s="235"/>
      <c r="N19" s="306" t="s">
        <v>174</v>
      </c>
    </row>
    <row r="20" spans="1:14" s="238" customFormat="1" ht="24">
      <c r="A20" s="155"/>
      <c r="B20" s="392" t="s">
        <v>36</v>
      </c>
      <c r="C20" s="66"/>
      <c r="D20" s="98">
        <v>14</v>
      </c>
      <c r="E20" s="98" t="s">
        <v>142</v>
      </c>
      <c r="F20" s="98" t="s">
        <v>145</v>
      </c>
      <c r="G20" s="259">
        <v>37078</v>
      </c>
      <c r="H20" s="236"/>
      <c r="I20" s="98">
        <v>14</v>
      </c>
      <c r="J20" s="98" t="s">
        <v>142</v>
      </c>
      <c r="K20" s="98" t="s">
        <v>145</v>
      </c>
      <c r="L20" s="259">
        <v>37078</v>
      </c>
      <c r="M20" s="235"/>
      <c r="N20" s="306"/>
    </row>
    <row r="21" spans="1:14" s="315" customFormat="1" ht="24.75" customHeight="1">
      <c r="A21" s="563" t="s">
        <v>61</v>
      </c>
      <c r="B21" s="564"/>
      <c r="C21" s="66"/>
      <c r="D21" s="243">
        <f>SUM(D22:D32)</f>
        <v>7246</v>
      </c>
      <c r="E21" s="243"/>
      <c r="F21" s="243"/>
      <c r="G21" s="243"/>
      <c r="H21" s="153"/>
      <c r="I21" s="243">
        <f>SUM(I22:I32)</f>
        <v>7246</v>
      </c>
      <c r="J21" s="243"/>
      <c r="K21" s="243"/>
      <c r="L21" s="243"/>
      <c r="M21" s="156"/>
      <c r="N21" s="306"/>
    </row>
    <row r="22" spans="1:14" s="157" customFormat="1" ht="24">
      <c r="A22" s="372"/>
      <c r="B22" s="377" t="s">
        <v>146</v>
      </c>
      <c r="C22" s="373"/>
      <c r="D22" s="153"/>
      <c r="E22" s="153"/>
      <c r="F22" s="243"/>
      <c r="G22" s="243"/>
      <c r="H22" s="153"/>
      <c r="I22" s="153"/>
      <c r="J22" s="153"/>
      <c r="K22" s="243"/>
      <c r="L22" s="243"/>
      <c r="M22" s="156"/>
      <c r="N22" s="306"/>
    </row>
    <row r="23" spans="1:14" s="157" customFormat="1" ht="24">
      <c r="A23" s="372"/>
      <c r="B23" s="393" t="s">
        <v>290</v>
      </c>
      <c r="C23" s="373"/>
      <c r="D23" s="236">
        <v>100</v>
      </c>
      <c r="E23" s="236" t="s">
        <v>147</v>
      </c>
      <c r="F23" s="98" t="s">
        <v>145</v>
      </c>
      <c r="G23" s="259">
        <v>37209</v>
      </c>
      <c r="H23" s="153"/>
      <c r="I23" s="236">
        <v>100</v>
      </c>
      <c r="J23" s="236" t="s">
        <v>147</v>
      </c>
      <c r="K23" s="98" t="s">
        <v>145</v>
      </c>
      <c r="L23" s="259">
        <v>37209</v>
      </c>
      <c r="M23" s="156"/>
      <c r="N23" s="306" t="s">
        <v>281</v>
      </c>
    </row>
    <row r="24" spans="1:14" s="238" customFormat="1" ht="45">
      <c r="A24" s="155"/>
      <c r="B24" s="230" t="s">
        <v>325</v>
      </c>
      <c r="C24" s="66"/>
      <c r="D24" s="236">
        <v>1816</v>
      </c>
      <c r="E24" s="236" t="s">
        <v>262</v>
      </c>
      <c r="F24" s="98" t="s">
        <v>145</v>
      </c>
      <c r="G24" s="259">
        <v>36994</v>
      </c>
      <c r="H24" s="236"/>
      <c r="I24" s="236">
        <v>1816</v>
      </c>
      <c r="J24" s="236" t="s">
        <v>262</v>
      </c>
      <c r="K24" s="98" t="s">
        <v>145</v>
      </c>
      <c r="L24" s="259">
        <v>36994</v>
      </c>
      <c r="M24" s="235"/>
      <c r="N24" s="378" t="s">
        <v>242</v>
      </c>
    </row>
    <row r="25" spans="1:14" s="238" customFormat="1" ht="45">
      <c r="A25" s="155"/>
      <c r="B25" s="230" t="s">
        <v>326</v>
      </c>
      <c r="C25" s="66"/>
      <c r="D25" s="236">
        <v>4650</v>
      </c>
      <c r="E25" s="236" t="s">
        <v>262</v>
      </c>
      <c r="F25" s="98" t="s">
        <v>145</v>
      </c>
      <c r="G25" s="259">
        <v>37103</v>
      </c>
      <c r="H25" s="236"/>
      <c r="I25" s="236">
        <v>4650</v>
      </c>
      <c r="J25" s="236" t="s">
        <v>262</v>
      </c>
      <c r="K25" s="98" t="s">
        <v>145</v>
      </c>
      <c r="L25" s="259">
        <v>37103</v>
      </c>
      <c r="M25" s="235"/>
      <c r="N25" s="378" t="s">
        <v>242</v>
      </c>
    </row>
    <row r="26" spans="1:14" s="238" customFormat="1" ht="45">
      <c r="A26" s="155"/>
      <c r="B26" s="230" t="s">
        <v>324</v>
      </c>
      <c r="C26" s="66"/>
      <c r="D26" s="236">
        <v>114</v>
      </c>
      <c r="E26" s="236" t="s">
        <v>262</v>
      </c>
      <c r="F26" s="98" t="s">
        <v>145</v>
      </c>
      <c r="G26" s="259">
        <v>36979</v>
      </c>
      <c r="H26" s="236"/>
      <c r="I26" s="236">
        <v>114</v>
      </c>
      <c r="J26" s="236" t="s">
        <v>262</v>
      </c>
      <c r="K26" s="98" t="s">
        <v>145</v>
      </c>
      <c r="L26" s="259">
        <v>36979</v>
      </c>
      <c r="M26" s="235"/>
      <c r="N26" s="378" t="s">
        <v>242</v>
      </c>
    </row>
    <row r="27" spans="1:14" s="238" customFormat="1" ht="24">
      <c r="A27" s="155"/>
      <c r="B27" s="230" t="s">
        <v>210</v>
      </c>
      <c r="C27" s="66"/>
      <c r="D27" s="236">
        <v>14</v>
      </c>
      <c r="E27" s="236" t="s">
        <v>155</v>
      </c>
      <c r="F27" s="98" t="s">
        <v>145</v>
      </c>
      <c r="G27" s="259">
        <v>36913</v>
      </c>
      <c r="H27" s="236"/>
      <c r="I27" s="236">
        <v>14</v>
      </c>
      <c r="J27" s="236" t="s">
        <v>155</v>
      </c>
      <c r="K27" s="98" t="s">
        <v>145</v>
      </c>
      <c r="L27" s="259">
        <v>36913</v>
      </c>
      <c r="M27" s="235"/>
      <c r="N27" s="306" t="s">
        <v>156</v>
      </c>
    </row>
    <row r="28" spans="1:14" s="238" customFormat="1" ht="24">
      <c r="A28" s="155"/>
      <c r="B28" s="230" t="s">
        <v>31</v>
      </c>
      <c r="C28" s="66"/>
      <c r="D28" s="236">
        <v>95</v>
      </c>
      <c r="E28" s="236" t="s">
        <v>155</v>
      </c>
      <c r="F28" s="98" t="s">
        <v>145</v>
      </c>
      <c r="G28" s="259">
        <v>37049</v>
      </c>
      <c r="H28" s="236"/>
      <c r="I28" s="236">
        <v>95</v>
      </c>
      <c r="J28" s="236" t="s">
        <v>155</v>
      </c>
      <c r="K28" s="98" t="s">
        <v>145</v>
      </c>
      <c r="L28" s="259">
        <v>37049</v>
      </c>
      <c r="M28" s="235"/>
      <c r="N28" s="306" t="s">
        <v>156</v>
      </c>
    </row>
    <row r="29" spans="1:14" s="238" customFormat="1" ht="24">
      <c r="A29" s="155"/>
      <c r="B29" s="230" t="s">
        <v>261</v>
      </c>
      <c r="C29" s="66"/>
      <c r="D29" s="236">
        <v>77</v>
      </c>
      <c r="E29" s="236" t="s">
        <v>197</v>
      </c>
      <c r="F29" s="98" t="s">
        <v>145</v>
      </c>
      <c r="G29" s="259">
        <v>37116</v>
      </c>
      <c r="H29" s="236"/>
      <c r="I29" s="236">
        <v>77</v>
      </c>
      <c r="J29" s="236" t="s">
        <v>197</v>
      </c>
      <c r="K29" s="98" t="s">
        <v>145</v>
      </c>
      <c r="L29" s="259">
        <v>37116</v>
      </c>
      <c r="M29" s="235"/>
      <c r="N29" s="306" t="s">
        <v>174</v>
      </c>
    </row>
    <row r="30" spans="1:14" s="238" customFormat="1" ht="12">
      <c r="A30" s="155"/>
      <c r="B30" s="230"/>
      <c r="C30" s="66"/>
      <c r="D30" s="236">
        <v>75</v>
      </c>
      <c r="E30" s="236" t="s">
        <v>262</v>
      </c>
      <c r="F30" s="98"/>
      <c r="G30" s="259"/>
      <c r="H30" s="236"/>
      <c r="I30" s="236">
        <v>75</v>
      </c>
      <c r="J30" s="236" t="s">
        <v>262</v>
      </c>
      <c r="K30" s="98"/>
      <c r="L30" s="259"/>
      <c r="M30" s="235"/>
      <c r="N30" s="306"/>
    </row>
    <row r="31" spans="1:14" s="238" customFormat="1" ht="24">
      <c r="A31" s="155"/>
      <c r="B31" s="230" t="s">
        <v>295</v>
      </c>
      <c r="C31" s="66"/>
      <c r="D31" s="236">
        <v>305</v>
      </c>
      <c r="E31" s="236" t="s">
        <v>155</v>
      </c>
      <c r="F31" s="98" t="s">
        <v>145</v>
      </c>
      <c r="G31" s="259">
        <v>37214</v>
      </c>
      <c r="H31" s="236"/>
      <c r="I31" s="236">
        <v>305</v>
      </c>
      <c r="J31" s="236" t="s">
        <v>155</v>
      </c>
      <c r="K31" s="98" t="s">
        <v>145</v>
      </c>
      <c r="L31" s="259">
        <v>37214</v>
      </c>
      <c r="M31" s="235"/>
      <c r="N31" s="306" t="s">
        <v>195</v>
      </c>
    </row>
    <row r="32" spans="1:14" s="238" customFormat="1" ht="12">
      <c r="A32" s="155"/>
      <c r="B32" s="230"/>
      <c r="C32" s="66"/>
      <c r="D32" s="236"/>
      <c r="E32" s="236"/>
      <c r="F32" s="98"/>
      <c r="G32" s="259"/>
      <c r="H32" s="236"/>
      <c r="I32" s="236"/>
      <c r="J32" s="236"/>
      <c r="K32" s="98"/>
      <c r="L32" s="259"/>
      <c r="M32" s="235"/>
      <c r="N32" s="306"/>
    </row>
    <row r="33" spans="1:14" s="315" customFormat="1" ht="24.75" customHeight="1">
      <c r="A33" s="155" t="s">
        <v>415</v>
      </c>
      <c r="B33" s="386"/>
      <c r="C33" s="66"/>
      <c r="D33" s="243"/>
      <c r="E33" s="243"/>
      <c r="F33" s="243"/>
      <c r="G33" s="243"/>
      <c r="H33" s="153"/>
      <c r="I33" s="243"/>
      <c r="J33" s="243"/>
      <c r="K33" s="243"/>
      <c r="L33" s="243"/>
      <c r="M33" s="156"/>
      <c r="N33" s="306"/>
    </row>
    <row r="34" spans="1:14" s="315" customFormat="1" ht="15.75" customHeight="1">
      <c r="A34" s="333" t="s">
        <v>416</v>
      </c>
      <c r="B34" s="386"/>
      <c r="C34" s="394"/>
      <c r="D34" s="243">
        <f>SUM(D35:D42)</f>
        <v>1577</v>
      </c>
      <c r="E34" s="243"/>
      <c r="F34" s="243"/>
      <c r="G34" s="243"/>
      <c r="H34" s="153"/>
      <c r="I34" s="243">
        <f>SUM(I35:I42)</f>
        <v>1577</v>
      </c>
      <c r="J34" s="243"/>
      <c r="K34" s="243"/>
      <c r="L34" s="243"/>
      <c r="M34" s="156"/>
      <c r="N34" s="306"/>
    </row>
    <row r="35" spans="1:14" s="237" customFormat="1" ht="36">
      <c r="A35" s="155"/>
      <c r="B35" s="370" t="s">
        <v>54</v>
      </c>
      <c r="C35" s="66"/>
      <c r="D35" s="98">
        <v>440</v>
      </c>
      <c r="E35" s="98" t="s">
        <v>155</v>
      </c>
      <c r="F35" s="98" t="s">
        <v>161</v>
      </c>
      <c r="G35" s="259">
        <v>36949</v>
      </c>
      <c r="H35" s="236"/>
      <c r="I35" s="98">
        <v>440</v>
      </c>
      <c r="J35" s="98" t="s">
        <v>155</v>
      </c>
      <c r="K35" s="98" t="s">
        <v>239</v>
      </c>
      <c r="L35" s="259">
        <v>37015</v>
      </c>
      <c r="M35" s="235"/>
      <c r="N35" s="306"/>
    </row>
    <row r="36" spans="1:14" s="237" customFormat="1" ht="24">
      <c r="A36" s="155"/>
      <c r="B36" s="370" t="s">
        <v>202</v>
      </c>
      <c r="C36" s="66"/>
      <c r="D36" s="98">
        <v>439</v>
      </c>
      <c r="E36" s="98" t="s">
        <v>155</v>
      </c>
      <c r="F36" s="98" t="s">
        <v>200</v>
      </c>
      <c r="G36" s="259">
        <v>36970</v>
      </c>
      <c r="H36" s="236"/>
      <c r="I36" s="98">
        <v>439</v>
      </c>
      <c r="J36" s="98" t="s">
        <v>155</v>
      </c>
      <c r="K36" s="98" t="s">
        <v>200</v>
      </c>
      <c r="L36" s="259">
        <v>36970</v>
      </c>
      <c r="M36" s="235"/>
      <c r="N36" s="306" t="s">
        <v>201</v>
      </c>
    </row>
    <row r="37" spans="1:14" s="237" customFormat="1" ht="24">
      <c r="A37" s="155"/>
      <c r="B37" s="370" t="s">
        <v>202</v>
      </c>
      <c r="C37" s="66"/>
      <c r="D37" s="98">
        <v>360</v>
      </c>
      <c r="E37" s="98" t="s">
        <v>395</v>
      </c>
      <c r="F37" s="98" t="s">
        <v>396</v>
      </c>
      <c r="G37" s="259">
        <v>37102</v>
      </c>
      <c r="H37" s="236"/>
      <c r="I37" s="98">
        <v>360</v>
      </c>
      <c r="J37" s="98" t="s">
        <v>395</v>
      </c>
      <c r="K37" s="98" t="s">
        <v>396</v>
      </c>
      <c r="L37" s="259">
        <v>37102</v>
      </c>
      <c r="M37" s="235"/>
      <c r="N37" s="306" t="s">
        <v>201</v>
      </c>
    </row>
    <row r="38" spans="1:14" s="237" customFormat="1" ht="12">
      <c r="A38" s="155"/>
      <c r="B38" s="370"/>
      <c r="C38" s="66"/>
      <c r="D38" s="98">
        <v>223</v>
      </c>
      <c r="E38" s="98" t="s">
        <v>262</v>
      </c>
      <c r="F38" s="98"/>
      <c r="G38" s="259"/>
      <c r="H38" s="236"/>
      <c r="I38" s="98">
        <v>223</v>
      </c>
      <c r="J38" s="98" t="s">
        <v>262</v>
      </c>
      <c r="K38" s="98"/>
      <c r="L38" s="259"/>
      <c r="M38" s="235"/>
      <c r="N38" s="306"/>
    </row>
    <row r="39" spans="1:14" s="20" customFormat="1" ht="24">
      <c r="A39" s="155"/>
      <c r="B39" s="370" t="s">
        <v>222</v>
      </c>
      <c r="C39" s="66"/>
      <c r="D39" s="98">
        <v>12</v>
      </c>
      <c r="E39" s="98" t="s">
        <v>155</v>
      </c>
      <c r="F39" s="98" t="s">
        <v>145</v>
      </c>
      <c r="G39" s="259">
        <v>37004</v>
      </c>
      <c r="H39" s="236"/>
      <c r="I39" s="98">
        <v>12</v>
      </c>
      <c r="J39" s="98" t="s">
        <v>155</v>
      </c>
      <c r="K39" s="98" t="s">
        <v>145</v>
      </c>
      <c r="L39" s="259">
        <v>37004</v>
      </c>
      <c r="M39" s="235"/>
      <c r="N39" s="306" t="s">
        <v>156</v>
      </c>
    </row>
    <row r="40" spans="1:14" s="237" customFormat="1" ht="24">
      <c r="A40" s="155"/>
      <c r="B40" s="370" t="s">
        <v>37</v>
      </c>
      <c r="C40" s="66"/>
      <c r="D40" s="98">
        <v>14</v>
      </c>
      <c r="E40" s="98" t="s">
        <v>219</v>
      </c>
      <c r="F40" s="98" t="s">
        <v>145</v>
      </c>
      <c r="G40" s="259">
        <v>37088</v>
      </c>
      <c r="H40" s="236"/>
      <c r="I40" s="98">
        <v>14</v>
      </c>
      <c r="J40" s="98" t="s">
        <v>219</v>
      </c>
      <c r="K40" s="98" t="s">
        <v>145</v>
      </c>
      <c r="L40" s="259">
        <v>37088</v>
      </c>
      <c r="M40" s="235"/>
      <c r="N40" s="306" t="s">
        <v>199</v>
      </c>
    </row>
    <row r="41" spans="1:14" s="237" customFormat="1" ht="24">
      <c r="A41" s="155"/>
      <c r="B41" s="370" t="s">
        <v>293</v>
      </c>
      <c r="C41" s="66"/>
      <c r="D41" s="98">
        <v>73</v>
      </c>
      <c r="E41" s="98" t="s">
        <v>155</v>
      </c>
      <c r="F41" s="98" t="s">
        <v>145</v>
      </c>
      <c r="G41" s="259">
        <v>37190</v>
      </c>
      <c r="H41" s="236"/>
      <c r="I41" s="98">
        <v>73</v>
      </c>
      <c r="J41" s="98" t="s">
        <v>155</v>
      </c>
      <c r="K41" s="98" t="s">
        <v>145</v>
      </c>
      <c r="L41" s="259">
        <v>37190</v>
      </c>
      <c r="M41" s="235"/>
      <c r="N41" s="306" t="s">
        <v>294</v>
      </c>
    </row>
    <row r="42" spans="1:14" s="237" customFormat="1" ht="12">
      <c r="A42" s="155"/>
      <c r="B42" s="370" t="s">
        <v>182</v>
      </c>
      <c r="C42" s="66"/>
      <c r="D42" s="98">
        <v>16</v>
      </c>
      <c r="E42" s="98" t="s">
        <v>147</v>
      </c>
      <c r="F42" s="98" t="s">
        <v>145</v>
      </c>
      <c r="G42" s="259">
        <v>37130</v>
      </c>
      <c r="H42" s="236"/>
      <c r="I42" s="98">
        <v>16</v>
      </c>
      <c r="J42" s="98" t="s">
        <v>147</v>
      </c>
      <c r="K42" s="98" t="s">
        <v>145</v>
      </c>
      <c r="L42" s="259">
        <v>37130</v>
      </c>
      <c r="M42" s="235"/>
      <c r="N42" s="306"/>
    </row>
    <row r="43" spans="1:14" s="157" customFormat="1" ht="24.75" customHeight="1">
      <c r="A43" s="155" t="s">
        <v>377</v>
      </c>
      <c r="C43" s="66"/>
      <c r="D43" s="243">
        <f>SUM(D44:D53)</f>
        <v>1658</v>
      </c>
      <c r="E43" s="243"/>
      <c r="F43" s="243"/>
      <c r="G43" s="243"/>
      <c r="H43" s="153"/>
      <c r="I43" s="243">
        <f>SUM(I44:I53)</f>
        <v>1658</v>
      </c>
      <c r="J43" s="243"/>
      <c r="K43" s="243"/>
      <c r="L43" s="243"/>
      <c r="M43" s="156"/>
      <c r="N43" s="306"/>
    </row>
    <row r="44" spans="1:14" s="237" customFormat="1" ht="25.5" customHeight="1">
      <c r="A44" s="155"/>
      <c r="B44" s="230" t="s">
        <v>310</v>
      </c>
      <c r="C44" s="66"/>
      <c r="D44" s="98">
        <v>350</v>
      </c>
      <c r="E44" s="98" t="s">
        <v>151</v>
      </c>
      <c r="F44" s="98" t="s">
        <v>145</v>
      </c>
      <c r="G44" s="259">
        <v>37110</v>
      </c>
      <c r="H44" s="236"/>
      <c r="I44" s="98">
        <v>350</v>
      </c>
      <c r="J44" s="98" t="s">
        <v>151</v>
      </c>
      <c r="K44" s="98" t="s">
        <v>145</v>
      </c>
      <c r="L44" s="259">
        <v>37110</v>
      </c>
      <c r="M44" s="235"/>
      <c r="N44" s="378" t="s">
        <v>256</v>
      </c>
    </row>
    <row r="45" spans="1:14" s="237" customFormat="1" ht="12">
      <c r="A45" s="155"/>
      <c r="B45" s="230"/>
      <c r="C45" s="66"/>
      <c r="D45" s="98">
        <v>300</v>
      </c>
      <c r="E45" s="98" t="s">
        <v>77</v>
      </c>
      <c r="F45" s="98"/>
      <c r="G45" s="259"/>
      <c r="H45" s="236"/>
      <c r="I45" s="98">
        <v>300</v>
      </c>
      <c r="J45" s="98" t="s">
        <v>77</v>
      </c>
      <c r="K45" s="98"/>
      <c r="L45" s="259"/>
      <c r="M45" s="235"/>
      <c r="N45" s="378"/>
    </row>
    <row r="46" spans="1:14" s="237" customFormat="1" ht="12">
      <c r="A46" s="155"/>
      <c r="B46" s="230"/>
      <c r="C46" s="66"/>
      <c r="D46" s="98">
        <v>290</v>
      </c>
      <c r="E46" s="98" t="s">
        <v>262</v>
      </c>
      <c r="F46" s="98"/>
      <c r="G46" s="259"/>
      <c r="H46" s="236"/>
      <c r="I46" s="98">
        <v>290</v>
      </c>
      <c r="J46" s="98" t="s">
        <v>262</v>
      </c>
      <c r="K46" s="98"/>
      <c r="L46" s="259"/>
      <c r="M46" s="235"/>
      <c r="N46" s="378"/>
    </row>
    <row r="47" spans="1:14" s="237" customFormat="1" ht="25.5" customHeight="1">
      <c r="A47" s="155"/>
      <c r="B47" s="230" t="s">
        <v>267</v>
      </c>
      <c r="C47" s="66"/>
      <c r="D47" s="98">
        <v>6</v>
      </c>
      <c r="E47" s="98" t="s">
        <v>142</v>
      </c>
      <c r="F47" s="98" t="s">
        <v>145</v>
      </c>
      <c r="G47" s="259">
        <v>37020</v>
      </c>
      <c r="H47" s="236"/>
      <c r="I47" s="98">
        <v>6</v>
      </c>
      <c r="J47" s="98" t="s">
        <v>142</v>
      </c>
      <c r="K47" s="98" t="s">
        <v>145</v>
      </c>
      <c r="L47" s="259">
        <v>37020</v>
      </c>
      <c r="M47" s="235"/>
      <c r="N47" s="306"/>
    </row>
    <row r="48" spans="1:14" s="237" customFormat="1" ht="25.5" customHeight="1">
      <c r="A48" s="155"/>
      <c r="B48" s="230" t="s">
        <v>124</v>
      </c>
      <c r="C48" s="66"/>
      <c r="D48" s="98">
        <v>74</v>
      </c>
      <c r="E48" s="98" t="s">
        <v>155</v>
      </c>
      <c r="F48" s="98" t="s">
        <v>145</v>
      </c>
      <c r="G48" s="259">
        <v>37050</v>
      </c>
      <c r="H48" s="236"/>
      <c r="I48" s="98">
        <v>74</v>
      </c>
      <c r="J48" s="98" t="s">
        <v>155</v>
      </c>
      <c r="K48" s="98" t="s">
        <v>145</v>
      </c>
      <c r="L48" s="259">
        <v>37050</v>
      </c>
      <c r="M48" s="235"/>
      <c r="N48" s="306" t="s">
        <v>316</v>
      </c>
    </row>
    <row r="49" spans="1:14" s="237" customFormat="1" ht="25.5" customHeight="1">
      <c r="A49" s="155"/>
      <c r="B49" s="234" t="s">
        <v>418</v>
      </c>
      <c r="C49" s="66"/>
      <c r="D49" s="98">
        <v>101</v>
      </c>
      <c r="E49" s="98" t="s">
        <v>155</v>
      </c>
      <c r="F49" s="98" t="s">
        <v>145</v>
      </c>
      <c r="G49" s="259">
        <v>37041</v>
      </c>
      <c r="H49" s="236"/>
      <c r="I49" s="98">
        <v>101</v>
      </c>
      <c r="J49" s="98" t="s">
        <v>155</v>
      </c>
      <c r="K49" s="98" t="s">
        <v>145</v>
      </c>
      <c r="L49" s="259">
        <v>37041</v>
      </c>
      <c r="M49" s="235"/>
      <c r="N49" s="306" t="s">
        <v>316</v>
      </c>
    </row>
    <row r="50" spans="1:14" s="20" customFormat="1" ht="15.75">
      <c r="A50" s="395"/>
      <c r="B50" s="370" t="s">
        <v>118</v>
      </c>
      <c r="C50" s="66"/>
      <c r="D50" s="98">
        <v>350</v>
      </c>
      <c r="E50" s="98" t="s">
        <v>262</v>
      </c>
      <c r="F50" s="98" t="s">
        <v>145</v>
      </c>
      <c r="G50" s="259">
        <v>37060</v>
      </c>
      <c r="H50" s="236"/>
      <c r="I50" s="98">
        <v>350</v>
      </c>
      <c r="J50" s="98" t="s">
        <v>262</v>
      </c>
      <c r="K50" s="98" t="s">
        <v>145</v>
      </c>
      <c r="L50" s="259">
        <v>37060</v>
      </c>
      <c r="M50" s="235"/>
      <c r="N50" s="306" t="s">
        <v>263</v>
      </c>
    </row>
    <row r="51" spans="1:14" s="20" customFormat="1" ht="24">
      <c r="A51" s="155"/>
      <c r="B51" s="370" t="s">
        <v>175</v>
      </c>
      <c r="C51" s="66"/>
      <c r="D51" s="98">
        <v>90</v>
      </c>
      <c r="E51" s="98" t="s">
        <v>155</v>
      </c>
      <c r="F51" s="98" t="s">
        <v>145</v>
      </c>
      <c r="G51" s="259">
        <v>36942</v>
      </c>
      <c r="H51" s="236"/>
      <c r="I51" s="98">
        <v>90</v>
      </c>
      <c r="J51" s="98" t="s">
        <v>155</v>
      </c>
      <c r="K51" s="98" t="s">
        <v>145</v>
      </c>
      <c r="L51" s="259">
        <v>36942</v>
      </c>
      <c r="M51" s="235"/>
      <c r="N51" s="306" t="s">
        <v>156</v>
      </c>
    </row>
    <row r="52" spans="1:14" s="20" customFormat="1" ht="12">
      <c r="A52" s="155"/>
      <c r="B52" s="370" t="s">
        <v>115</v>
      </c>
      <c r="C52" s="66"/>
      <c r="D52" s="98">
        <v>81</v>
      </c>
      <c r="E52" s="98" t="s">
        <v>155</v>
      </c>
      <c r="F52" s="98" t="s">
        <v>145</v>
      </c>
      <c r="G52" s="259">
        <v>36971</v>
      </c>
      <c r="H52" s="236"/>
      <c r="I52" s="98">
        <v>81</v>
      </c>
      <c r="J52" s="98" t="s">
        <v>155</v>
      </c>
      <c r="K52" s="98" t="s">
        <v>145</v>
      </c>
      <c r="L52" s="259">
        <v>36971</v>
      </c>
      <c r="M52" s="235"/>
      <c r="N52" s="306" t="s">
        <v>156</v>
      </c>
    </row>
    <row r="53" spans="1:14" s="20" customFormat="1" ht="24">
      <c r="A53" s="155"/>
      <c r="B53" s="370" t="s">
        <v>292</v>
      </c>
      <c r="C53" s="66"/>
      <c r="D53" s="98">
        <v>16</v>
      </c>
      <c r="E53" s="98" t="s">
        <v>155</v>
      </c>
      <c r="F53" s="98" t="s">
        <v>145</v>
      </c>
      <c r="G53" s="259">
        <v>37210</v>
      </c>
      <c r="H53" s="236"/>
      <c r="I53" s="98">
        <v>16</v>
      </c>
      <c r="J53" s="98" t="s">
        <v>155</v>
      </c>
      <c r="K53" s="98" t="s">
        <v>145</v>
      </c>
      <c r="L53" s="259">
        <v>37210</v>
      </c>
      <c r="M53" s="235"/>
      <c r="N53" s="306" t="s">
        <v>201</v>
      </c>
    </row>
    <row r="54" spans="1:14" s="20" customFormat="1" ht="24" customHeight="1">
      <c r="A54" s="155" t="s">
        <v>378</v>
      </c>
      <c r="B54" s="370"/>
      <c r="C54" s="66"/>
      <c r="D54" s="243">
        <f>SUM(D55:D57)</f>
        <v>400</v>
      </c>
      <c r="E54" s="243"/>
      <c r="F54" s="243"/>
      <c r="G54" s="243"/>
      <c r="H54" s="236"/>
      <c r="I54" s="243">
        <f>SUM(I55:I57)</f>
        <v>400</v>
      </c>
      <c r="J54" s="243"/>
      <c r="K54" s="243"/>
      <c r="L54" s="243"/>
      <c r="M54" s="235"/>
      <c r="N54" s="306"/>
    </row>
    <row r="55" spans="1:14" s="237" customFormat="1" ht="12">
      <c r="A55" s="155"/>
      <c r="B55" s="234" t="s">
        <v>76</v>
      </c>
      <c r="C55" s="66"/>
      <c r="D55" s="98"/>
      <c r="E55" s="98"/>
      <c r="F55" s="98"/>
      <c r="G55" s="98"/>
      <c r="H55" s="236"/>
      <c r="I55" s="98"/>
      <c r="J55" s="98"/>
      <c r="K55" s="98"/>
      <c r="L55" s="98"/>
      <c r="M55" s="235"/>
      <c r="N55" s="306"/>
    </row>
    <row r="56" spans="1:14" s="237" customFormat="1" ht="12">
      <c r="A56" s="155"/>
      <c r="B56" s="385" t="s">
        <v>75</v>
      </c>
      <c r="C56" s="66"/>
      <c r="D56" s="98">
        <v>400</v>
      </c>
      <c r="E56" s="98" t="s">
        <v>155</v>
      </c>
      <c r="F56" s="98" t="s">
        <v>145</v>
      </c>
      <c r="G56" s="259">
        <v>37167</v>
      </c>
      <c r="H56" s="236"/>
      <c r="I56" s="98">
        <v>400</v>
      </c>
      <c r="J56" s="98" t="s">
        <v>155</v>
      </c>
      <c r="K56" s="98" t="s">
        <v>335</v>
      </c>
      <c r="L56" s="259">
        <v>37235</v>
      </c>
      <c r="M56" s="235"/>
      <c r="N56" s="306"/>
    </row>
    <row r="57" spans="1:14" s="237" customFormat="1" ht="12">
      <c r="A57" s="155"/>
      <c r="B57" s="385"/>
      <c r="C57" s="64"/>
      <c r="D57" s="98"/>
      <c r="E57" s="98"/>
      <c r="F57" s="98"/>
      <c r="G57" s="98"/>
      <c r="H57" s="236"/>
      <c r="I57" s="98"/>
      <c r="J57" s="98"/>
      <c r="K57" s="98"/>
      <c r="L57" s="98"/>
      <c r="M57" s="235"/>
      <c r="N57" s="306"/>
    </row>
    <row r="58" spans="1:14" s="14" customFormat="1" ht="31.5" customHeight="1">
      <c r="A58" s="273"/>
      <c r="B58" s="294" t="s">
        <v>206</v>
      </c>
      <c r="C58" s="279"/>
      <c r="D58" s="271">
        <f>D16+D21+D34+D43+D54+D12+D7</f>
        <v>13564</v>
      </c>
      <c r="E58" s="271"/>
      <c r="F58" s="271"/>
      <c r="G58" s="271"/>
      <c r="H58" s="280"/>
      <c r="I58" s="271">
        <f>I16+I21+I34+I43+I54+I12+I7</f>
        <v>13564</v>
      </c>
      <c r="J58" s="271"/>
      <c r="K58" s="271"/>
      <c r="L58" s="271"/>
      <c r="M58" s="92"/>
      <c r="N58" s="84"/>
    </row>
    <row r="59" spans="1:14" s="14" customFormat="1" ht="12.75" customHeight="1">
      <c r="A59" s="160"/>
      <c r="B59" s="159"/>
      <c r="C59" s="76"/>
      <c r="D59" s="77"/>
      <c r="E59" s="106"/>
      <c r="F59" s="106"/>
      <c r="G59" s="106"/>
      <c r="H59" s="92"/>
      <c r="I59" s="77"/>
      <c r="J59" s="106"/>
      <c r="K59" s="106"/>
      <c r="L59" s="106"/>
      <c r="M59" s="92"/>
      <c r="N59" s="105"/>
    </row>
    <row r="60" ht="12.75">
      <c r="B60" s="310"/>
    </row>
  </sheetData>
  <mergeCells count="1">
    <mergeCell ref="A21:B21"/>
  </mergeCells>
  <printOptions gridLines="1" horizontalCentered="1"/>
  <pageMargins left="0.3937007874015748" right="0.3937007874015748" top="0.5905511811023623" bottom="0.36" header="0.5118110236220472" footer="0.16"/>
  <pageSetup firstPageNumber="10" useFirstPageNumber="1" horizontalDpi="600" verticalDpi="600" orientation="landscape" paperSize="9" scale="70" r:id="rId1"/>
  <headerFooter alignWithMargins="0">
    <oddFooter>&amp;R&amp;"Times New Roman,Grassetto"&amp;14&amp;P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29">
      <selection activeCell="A1" sqref="A1:D1"/>
    </sheetView>
  </sheetViews>
  <sheetFormatPr defaultColWidth="9.140625" defaultRowHeight="12.75"/>
  <cols>
    <col min="1" max="1" width="4.28125" style="17" customWidth="1"/>
    <col min="2" max="2" width="49.421875" style="47" customWidth="1"/>
    <col min="3" max="3" width="3.8515625" style="65" customWidth="1"/>
    <col min="4" max="4" width="9.140625" style="140" bestFit="1" customWidth="1"/>
    <col min="5" max="5" width="10.140625" style="8" customWidth="1"/>
    <col min="6" max="6" width="9.140625" style="8" bestFit="1" customWidth="1"/>
    <col min="7" max="7" width="8.8515625" style="8" customWidth="1"/>
    <col min="8" max="8" width="3.8515625" style="8" customWidth="1"/>
    <col min="9" max="9" width="9.140625" style="140" bestFit="1" customWidth="1"/>
    <col min="10" max="10" width="10.140625" style="8" customWidth="1"/>
    <col min="11" max="11" width="9.28125" style="8" bestFit="1" customWidth="1"/>
    <col min="12" max="12" width="8.8515625" style="8" customWidth="1"/>
    <col min="13" max="13" width="3.8515625" style="8" customWidth="1"/>
    <col min="14" max="14" width="26.00390625" style="34" customWidth="1"/>
    <col min="15" max="16384" width="9.140625" style="3" customWidth="1"/>
  </cols>
  <sheetData>
    <row r="1" spans="1:14" s="13" customFormat="1" ht="19.5">
      <c r="A1" s="262" t="s">
        <v>57</v>
      </c>
      <c r="B1" s="37"/>
      <c r="C1" s="61"/>
      <c r="D1" s="67"/>
      <c r="E1" s="12"/>
      <c r="F1" s="12"/>
      <c r="G1" s="12"/>
      <c r="H1" s="12"/>
      <c r="I1" s="67"/>
      <c r="J1" s="12"/>
      <c r="K1" s="12"/>
      <c r="L1" s="12"/>
      <c r="M1" s="12"/>
      <c r="N1" s="35"/>
    </row>
    <row r="2" spans="1:14" s="1" customFormat="1" ht="19.5">
      <c r="A2" s="262" t="s">
        <v>45</v>
      </c>
      <c r="B2" s="38"/>
      <c r="C2" s="61"/>
      <c r="D2" s="67"/>
      <c r="E2" s="16"/>
      <c r="F2" s="16"/>
      <c r="G2" s="6"/>
      <c r="H2" s="6"/>
      <c r="I2" s="67"/>
      <c r="J2" s="16"/>
      <c r="K2" s="16"/>
      <c r="L2" s="6"/>
      <c r="M2" s="6"/>
      <c r="N2" s="36"/>
    </row>
    <row r="3" spans="1:14" s="2" customFormat="1" ht="12">
      <c r="A3" s="43"/>
      <c r="B3" s="39"/>
      <c r="C3" s="62"/>
      <c r="D3" s="139"/>
      <c r="E3" s="7"/>
      <c r="F3" s="7"/>
      <c r="G3" s="7"/>
      <c r="H3" s="7"/>
      <c r="I3" s="139"/>
      <c r="J3" s="7"/>
      <c r="K3" s="7"/>
      <c r="L3" s="30"/>
      <c r="M3" s="7"/>
      <c r="N3" s="33" t="s">
        <v>450</v>
      </c>
    </row>
    <row r="4" spans="1:14" s="127" customFormat="1" ht="15.75">
      <c r="A4" s="121"/>
      <c r="B4" s="446"/>
      <c r="C4" s="135"/>
      <c r="D4" s="250" t="s">
        <v>132</v>
      </c>
      <c r="E4" s="251"/>
      <c r="F4" s="251"/>
      <c r="G4" s="252"/>
      <c r="H4" s="125"/>
      <c r="I4" s="250" t="s">
        <v>133</v>
      </c>
      <c r="J4" s="251"/>
      <c r="K4" s="251"/>
      <c r="L4" s="252"/>
      <c r="M4" s="125"/>
      <c r="N4" s="126"/>
    </row>
    <row r="5" spans="1:14" ht="39" customHeight="1">
      <c r="A5" s="99" t="s">
        <v>399</v>
      </c>
      <c r="B5" s="113"/>
      <c r="C5" s="75"/>
      <c r="D5" s="253" t="s">
        <v>136</v>
      </c>
      <c r="E5" s="254" t="s">
        <v>137</v>
      </c>
      <c r="F5" s="254" t="s">
        <v>138</v>
      </c>
      <c r="G5" s="255" t="s">
        <v>139</v>
      </c>
      <c r="H5" s="79"/>
      <c r="I5" s="253" t="s">
        <v>136</v>
      </c>
      <c r="J5" s="254" t="s">
        <v>137</v>
      </c>
      <c r="K5" s="254" t="s">
        <v>138</v>
      </c>
      <c r="L5" s="255" t="s">
        <v>139</v>
      </c>
      <c r="M5" s="79"/>
      <c r="N5" s="40" t="s">
        <v>400</v>
      </c>
    </row>
    <row r="6" spans="1:14" s="17" customFormat="1" ht="12">
      <c r="A6" s="11"/>
      <c r="B6" s="447"/>
      <c r="C6" s="76"/>
      <c r="D6" s="256"/>
      <c r="E6" s="257"/>
      <c r="F6" s="257"/>
      <c r="G6" s="258"/>
      <c r="H6" s="81"/>
      <c r="I6" s="256"/>
      <c r="J6" s="257"/>
      <c r="K6" s="257"/>
      <c r="L6" s="258"/>
      <c r="M6" s="81"/>
      <c r="N6" s="50"/>
    </row>
    <row r="7" spans="1:14" s="18" customFormat="1" ht="24.75" customHeight="1">
      <c r="A7" s="56" t="s">
        <v>379</v>
      </c>
      <c r="B7" s="460"/>
      <c r="C7" s="78"/>
      <c r="D7" s="243">
        <f>SUM(D8:D9)</f>
        <v>176</v>
      </c>
      <c r="E7" s="243"/>
      <c r="F7" s="243"/>
      <c r="G7" s="243"/>
      <c r="H7" s="82"/>
      <c r="I7" s="243">
        <f>SUM(I8:I9)</f>
        <v>176</v>
      </c>
      <c r="J7" s="243"/>
      <c r="K7" s="243"/>
      <c r="L7" s="243"/>
      <c r="M7" s="82"/>
      <c r="N7" s="388"/>
    </row>
    <row r="8" spans="1:14" s="238" customFormat="1" ht="24">
      <c r="A8" s="155"/>
      <c r="B8" s="448" t="s">
        <v>312</v>
      </c>
      <c r="C8" s="78"/>
      <c r="D8" s="98">
        <v>150</v>
      </c>
      <c r="E8" s="98" t="s">
        <v>262</v>
      </c>
      <c r="F8" s="98" t="s">
        <v>145</v>
      </c>
      <c r="G8" s="259">
        <v>37146</v>
      </c>
      <c r="H8" s="235"/>
      <c r="I8" s="98">
        <v>150</v>
      </c>
      <c r="J8" s="98" t="s">
        <v>262</v>
      </c>
      <c r="K8" s="98" t="s">
        <v>145</v>
      </c>
      <c r="L8" s="259">
        <v>37146</v>
      </c>
      <c r="M8" s="235"/>
      <c r="N8" s="331" t="s">
        <v>263</v>
      </c>
    </row>
    <row r="9" spans="1:14" s="238" customFormat="1" ht="12.75" customHeight="1">
      <c r="A9" s="155"/>
      <c r="B9" s="377" t="s">
        <v>1</v>
      </c>
      <c r="C9" s="78"/>
      <c r="D9" s="98">
        <v>26</v>
      </c>
      <c r="E9" s="98" t="s">
        <v>142</v>
      </c>
      <c r="F9" s="98" t="s">
        <v>145</v>
      </c>
      <c r="G9" s="259">
        <v>37096</v>
      </c>
      <c r="H9" s="235"/>
      <c r="I9" s="98">
        <v>26</v>
      </c>
      <c r="J9" s="98" t="s">
        <v>142</v>
      </c>
      <c r="K9" s="98" t="s">
        <v>145</v>
      </c>
      <c r="L9" s="259">
        <v>37096</v>
      </c>
      <c r="M9" s="235"/>
      <c r="N9" s="306"/>
    </row>
    <row r="10" spans="1:14" s="42" customFormat="1" ht="38.25" customHeight="1">
      <c r="A10" s="565" t="s">
        <v>47</v>
      </c>
      <c r="B10" s="566"/>
      <c r="C10" s="78"/>
      <c r="D10" s="243">
        <f>SUM(D11:D12)</f>
        <v>3092</v>
      </c>
      <c r="E10" s="243"/>
      <c r="F10" s="243"/>
      <c r="G10" s="243"/>
      <c r="H10" s="82"/>
      <c r="I10" s="243">
        <f>SUM(I11:I12)</f>
        <v>3092</v>
      </c>
      <c r="J10" s="243"/>
      <c r="K10" s="243"/>
      <c r="L10" s="243"/>
      <c r="M10" s="82"/>
      <c r="N10" s="346"/>
    </row>
    <row r="11" spans="1:14" s="48" customFormat="1" ht="12">
      <c r="A11" s="155"/>
      <c r="B11" s="377" t="s">
        <v>52</v>
      </c>
      <c r="C11" s="78"/>
      <c r="D11" s="98">
        <v>3000</v>
      </c>
      <c r="E11" s="98" t="s">
        <v>155</v>
      </c>
      <c r="F11" s="98" t="s">
        <v>145</v>
      </c>
      <c r="G11" s="259">
        <v>36970</v>
      </c>
      <c r="H11" s="44"/>
      <c r="I11" s="98">
        <v>3000</v>
      </c>
      <c r="J11" s="98" t="s">
        <v>155</v>
      </c>
      <c r="K11" s="98" t="s">
        <v>239</v>
      </c>
      <c r="L11" s="259">
        <v>37015</v>
      </c>
      <c r="M11" s="44"/>
      <c r="N11" s="346"/>
    </row>
    <row r="12" spans="1:14" s="48" customFormat="1" ht="12">
      <c r="A12" s="155"/>
      <c r="B12" s="377" t="s">
        <v>125</v>
      </c>
      <c r="C12" s="78"/>
      <c r="D12" s="98">
        <v>92</v>
      </c>
      <c r="E12" s="98" t="s">
        <v>147</v>
      </c>
      <c r="F12" s="98" t="s">
        <v>145</v>
      </c>
      <c r="G12" s="259">
        <v>37039</v>
      </c>
      <c r="H12" s="44"/>
      <c r="I12" s="98">
        <v>92</v>
      </c>
      <c r="J12" s="98" t="s">
        <v>147</v>
      </c>
      <c r="K12" s="98" t="s">
        <v>145</v>
      </c>
      <c r="L12" s="259">
        <v>37039</v>
      </c>
      <c r="M12" s="44"/>
      <c r="N12" s="346"/>
    </row>
    <row r="13" spans="1:14" s="42" customFormat="1" ht="30.75" customHeight="1">
      <c r="A13" s="565" t="s">
        <v>48</v>
      </c>
      <c r="B13" s="566"/>
      <c r="C13" s="78"/>
      <c r="D13" s="243">
        <f>SUM(D14:D15)</f>
        <v>351</v>
      </c>
      <c r="E13" s="243"/>
      <c r="F13" s="243"/>
      <c r="G13" s="243"/>
      <c r="H13" s="390"/>
      <c r="I13" s="243">
        <f>SUM(I14:I15)</f>
        <v>0</v>
      </c>
      <c r="J13" s="243"/>
      <c r="K13" s="243"/>
      <c r="L13" s="243"/>
      <c r="M13" s="82"/>
      <c r="N13" s="346"/>
    </row>
    <row r="14" spans="1:14" s="48" customFormat="1" ht="12">
      <c r="A14" s="56"/>
      <c r="B14" s="459" t="s">
        <v>62</v>
      </c>
      <c r="C14" s="78"/>
      <c r="D14" s="98"/>
      <c r="E14" s="98"/>
      <c r="F14" s="98"/>
      <c r="G14" s="259"/>
      <c r="H14" s="44"/>
      <c r="I14" s="98"/>
      <c r="J14" s="98"/>
      <c r="K14" s="98"/>
      <c r="L14" s="259"/>
      <c r="M14" s="44"/>
      <c r="N14" s="346"/>
    </row>
    <row r="15" spans="1:14" s="238" customFormat="1" ht="12.75" customHeight="1">
      <c r="A15" s="155"/>
      <c r="B15" s="448" t="s">
        <v>246</v>
      </c>
      <c r="C15" s="78"/>
      <c r="D15" s="98">
        <v>351</v>
      </c>
      <c r="E15" s="98" t="s">
        <v>155</v>
      </c>
      <c r="F15" s="98" t="s">
        <v>145</v>
      </c>
      <c r="G15" s="259">
        <v>37187</v>
      </c>
      <c r="H15" s="235"/>
      <c r="I15" s="98"/>
      <c r="J15" s="98"/>
      <c r="K15" s="98"/>
      <c r="L15" s="259"/>
      <c r="M15" s="235"/>
      <c r="N15" s="306"/>
    </row>
    <row r="16" spans="1:14" s="48" customFormat="1" ht="33" customHeight="1">
      <c r="A16" s="565" t="s">
        <v>180</v>
      </c>
      <c r="B16" s="566"/>
      <c r="C16" s="78"/>
      <c r="D16" s="243">
        <f>+D17</f>
        <v>51</v>
      </c>
      <c r="E16" s="98"/>
      <c r="F16" s="98"/>
      <c r="G16" s="98"/>
      <c r="H16" s="44"/>
      <c r="I16" s="243">
        <f>+I17</f>
        <v>51</v>
      </c>
      <c r="J16" s="98"/>
      <c r="K16" s="98"/>
      <c r="L16" s="98"/>
      <c r="M16" s="44"/>
      <c r="N16" s="346"/>
    </row>
    <row r="17" spans="1:14" s="48" customFormat="1" ht="24">
      <c r="A17" s="56"/>
      <c r="B17" s="454" t="s">
        <v>181</v>
      </c>
      <c r="C17" s="78"/>
      <c r="D17" s="98">
        <v>51</v>
      </c>
      <c r="E17" s="98" t="s">
        <v>155</v>
      </c>
      <c r="F17" s="98" t="s">
        <v>145</v>
      </c>
      <c r="G17" s="259">
        <v>36921</v>
      </c>
      <c r="H17" s="44"/>
      <c r="I17" s="98">
        <v>51</v>
      </c>
      <c r="J17" s="98" t="s">
        <v>155</v>
      </c>
      <c r="K17" s="98" t="s">
        <v>145</v>
      </c>
      <c r="L17" s="259">
        <v>36921</v>
      </c>
      <c r="M17" s="44"/>
      <c r="N17" s="346" t="s">
        <v>156</v>
      </c>
    </row>
    <row r="18" spans="1:14" s="18" customFormat="1" ht="30" customHeight="1">
      <c r="A18" s="138" t="s">
        <v>331</v>
      </c>
      <c r="B18" s="460"/>
      <c r="C18" s="387"/>
      <c r="D18" s="243">
        <f>SUM(D19:D25)</f>
        <v>6161</v>
      </c>
      <c r="E18" s="243"/>
      <c r="F18" s="243"/>
      <c r="G18" s="243"/>
      <c r="H18" s="390"/>
      <c r="I18" s="243">
        <f>SUM(I19:I25)</f>
        <v>6161</v>
      </c>
      <c r="J18" s="243"/>
      <c r="K18" s="243"/>
      <c r="L18" s="243"/>
      <c r="M18" s="82"/>
      <c r="N18" s="346"/>
    </row>
    <row r="19" spans="1:14" s="20" customFormat="1" ht="12">
      <c r="A19" s="56"/>
      <c r="B19" s="449" t="s">
        <v>421</v>
      </c>
      <c r="C19" s="78"/>
      <c r="D19" s="98">
        <v>270</v>
      </c>
      <c r="E19" s="98" t="s">
        <v>147</v>
      </c>
      <c r="F19" s="98" t="s">
        <v>145</v>
      </c>
      <c r="G19" s="259">
        <v>37040</v>
      </c>
      <c r="H19" s="44"/>
      <c r="I19" s="98">
        <v>270</v>
      </c>
      <c r="J19" s="98" t="s">
        <v>147</v>
      </c>
      <c r="K19" s="98" t="s">
        <v>145</v>
      </c>
      <c r="L19" s="259">
        <v>37040</v>
      </c>
      <c r="M19" s="44"/>
      <c r="N19" s="346"/>
    </row>
    <row r="20" spans="1:14" s="20" customFormat="1" ht="12">
      <c r="A20" s="56"/>
      <c r="B20" s="459" t="s">
        <v>63</v>
      </c>
      <c r="C20" s="78"/>
      <c r="D20" s="98"/>
      <c r="E20" s="98"/>
      <c r="F20" s="98"/>
      <c r="G20" s="259"/>
      <c r="H20" s="44"/>
      <c r="I20" s="98"/>
      <c r="J20" s="98"/>
      <c r="K20" s="98"/>
      <c r="L20" s="259"/>
      <c r="M20" s="44"/>
      <c r="N20" s="346"/>
    </row>
    <row r="21" spans="1:14" s="20" customFormat="1" ht="24">
      <c r="A21" s="56"/>
      <c r="B21" s="448" t="s">
        <v>12</v>
      </c>
      <c r="C21" s="78"/>
      <c r="D21" s="442">
        <v>810</v>
      </c>
      <c r="E21" s="98" t="s">
        <v>155</v>
      </c>
      <c r="F21" s="443" t="s">
        <v>145</v>
      </c>
      <c r="G21" s="259">
        <v>37169</v>
      </c>
      <c r="H21" s="421"/>
      <c r="I21" s="442">
        <v>810</v>
      </c>
      <c r="J21" s="98" t="s">
        <v>155</v>
      </c>
      <c r="K21" s="443" t="s">
        <v>335</v>
      </c>
      <c r="L21" s="259">
        <v>37235</v>
      </c>
      <c r="M21" s="44"/>
      <c r="N21" s="346"/>
    </row>
    <row r="22" spans="1:14" s="20" customFormat="1" ht="12">
      <c r="A22" s="56"/>
      <c r="B22" s="449" t="s">
        <v>422</v>
      </c>
      <c r="C22" s="78"/>
      <c r="D22" s="98">
        <v>4560</v>
      </c>
      <c r="E22" s="98" t="s">
        <v>155</v>
      </c>
      <c r="F22" s="98" t="s">
        <v>145</v>
      </c>
      <c r="G22" s="259">
        <v>37162</v>
      </c>
      <c r="H22" s="44"/>
      <c r="I22" s="98">
        <v>4560</v>
      </c>
      <c r="J22" s="98" t="s">
        <v>155</v>
      </c>
      <c r="K22" s="98" t="s">
        <v>145</v>
      </c>
      <c r="L22" s="259">
        <v>37203</v>
      </c>
      <c r="M22" s="44"/>
      <c r="N22" s="346"/>
    </row>
    <row r="23" spans="1:14" s="20" customFormat="1" ht="24">
      <c r="A23" s="56"/>
      <c r="B23" s="449" t="s">
        <v>113</v>
      </c>
      <c r="C23" s="78"/>
      <c r="D23" s="98">
        <v>15</v>
      </c>
      <c r="E23" s="98" t="s">
        <v>155</v>
      </c>
      <c r="F23" s="98" t="s">
        <v>145</v>
      </c>
      <c r="G23" s="259">
        <v>37053</v>
      </c>
      <c r="H23" s="44"/>
      <c r="I23" s="98">
        <v>15</v>
      </c>
      <c r="J23" s="98" t="s">
        <v>155</v>
      </c>
      <c r="K23" s="98" t="s">
        <v>145</v>
      </c>
      <c r="L23" s="259">
        <v>37053</v>
      </c>
      <c r="M23" s="44"/>
      <c r="N23" s="346" t="s">
        <v>201</v>
      </c>
    </row>
    <row r="24" spans="1:14" s="20" customFormat="1" ht="12">
      <c r="A24" s="56"/>
      <c r="B24" s="449" t="s">
        <v>209</v>
      </c>
      <c r="C24" s="78"/>
      <c r="D24" s="98">
        <v>170</v>
      </c>
      <c r="E24" s="98" t="s">
        <v>155</v>
      </c>
      <c r="F24" s="98" t="s">
        <v>145</v>
      </c>
      <c r="G24" s="259">
        <v>36980</v>
      </c>
      <c r="H24" s="44"/>
      <c r="I24" s="98">
        <v>170</v>
      </c>
      <c r="J24" s="98" t="s">
        <v>155</v>
      </c>
      <c r="K24" s="98" t="s">
        <v>145</v>
      </c>
      <c r="L24" s="259">
        <v>36980</v>
      </c>
      <c r="M24" s="44"/>
      <c r="N24" s="346" t="s">
        <v>156</v>
      </c>
    </row>
    <row r="25" spans="1:14" s="20" customFormat="1" ht="24">
      <c r="A25" s="155"/>
      <c r="B25" s="454" t="s">
        <v>218</v>
      </c>
      <c r="C25" s="78"/>
      <c r="D25" s="98">
        <v>336</v>
      </c>
      <c r="E25" s="98" t="s">
        <v>219</v>
      </c>
      <c r="F25" s="98" t="s">
        <v>145</v>
      </c>
      <c r="G25" s="259">
        <v>36994</v>
      </c>
      <c r="H25" s="235"/>
      <c r="I25" s="98">
        <v>336</v>
      </c>
      <c r="J25" s="98" t="s">
        <v>219</v>
      </c>
      <c r="K25" s="98" t="s">
        <v>145</v>
      </c>
      <c r="L25" s="259">
        <v>36994</v>
      </c>
      <c r="M25" s="235"/>
      <c r="N25" s="306" t="s">
        <v>220</v>
      </c>
    </row>
    <row r="26" spans="1:14" s="18" customFormat="1" ht="30" customHeight="1">
      <c r="A26" s="138" t="s">
        <v>55</v>
      </c>
      <c r="B26" s="460"/>
      <c r="C26" s="387"/>
      <c r="D26" s="243">
        <f>SUM(D27:D27)</f>
        <v>800</v>
      </c>
      <c r="E26" s="243"/>
      <c r="F26" s="243"/>
      <c r="G26" s="243"/>
      <c r="H26" s="390"/>
      <c r="I26" s="243">
        <f>SUM(I27:I27)</f>
        <v>800</v>
      </c>
      <c r="J26" s="243"/>
      <c r="K26" s="243"/>
      <c r="L26" s="243"/>
      <c r="M26" s="82"/>
      <c r="N26" s="346"/>
    </row>
    <row r="27" spans="1:14" s="20" customFormat="1" ht="12">
      <c r="A27" s="155"/>
      <c r="B27" s="454" t="s">
        <v>56</v>
      </c>
      <c r="C27" s="78"/>
      <c r="D27" s="98">
        <v>800</v>
      </c>
      <c r="E27" s="98" t="s">
        <v>155</v>
      </c>
      <c r="F27" s="98" t="s">
        <v>172</v>
      </c>
      <c r="G27" s="259">
        <v>36963</v>
      </c>
      <c r="H27" s="44"/>
      <c r="I27" s="98">
        <v>800</v>
      </c>
      <c r="J27" s="98" t="s">
        <v>155</v>
      </c>
      <c r="K27" s="98" t="s">
        <v>239</v>
      </c>
      <c r="L27" s="259">
        <v>37015</v>
      </c>
      <c r="M27" s="44"/>
      <c r="N27" s="346"/>
    </row>
    <row r="28" spans="1:14" s="18" customFormat="1" ht="24.75" customHeight="1">
      <c r="A28" s="56" t="s">
        <v>380</v>
      </c>
      <c r="B28" s="460"/>
      <c r="C28" s="78"/>
      <c r="D28" s="243">
        <f>SUM(D29:D29)</f>
        <v>751</v>
      </c>
      <c r="E28" s="243"/>
      <c r="F28" s="243"/>
      <c r="G28" s="243"/>
      <c r="H28" s="390"/>
      <c r="I28" s="243">
        <f>SUM(I29:I29)</f>
        <v>751</v>
      </c>
      <c r="J28" s="243"/>
      <c r="K28" s="243"/>
      <c r="L28" s="243"/>
      <c r="M28" s="82"/>
      <c r="N28" s="346"/>
    </row>
    <row r="29" spans="1:14" s="237" customFormat="1" ht="12">
      <c r="A29" s="155"/>
      <c r="B29" s="454" t="s">
        <v>92</v>
      </c>
      <c r="C29" s="78"/>
      <c r="D29" s="98">
        <v>751</v>
      </c>
      <c r="E29" s="98" t="s">
        <v>147</v>
      </c>
      <c r="F29" s="98" t="s">
        <v>145</v>
      </c>
      <c r="G29" s="259">
        <v>37069</v>
      </c>
      <c r="H29" s="235"/>
      <c r="I29" s="98">
        <v>751</v>
      </c>
      <c r="J29" s="98" t="s">
        <v>147</v>
      </c>
      <c r="K29" s="98" t="s">
        <v>145</v>
      </c>
      <c r="L29" s="259">
        <v>37069</v>
      </c>
      <c r="M29" s="235"/>
      <c r="N29" s="378" t="s">
        <v>313</v>
      </c>
    </row>
    <row r="30" spans="1:14" s="20" customFormat="1" ht="21.75" customHeight="1">
      <c r="A30" s="333" t="s">
        <v>275</v>
      </c>
      <c r="B30" s="454"/>
      <c r="C30" s="235"/>
      <c r="D30" s="243">
        <f>SUM(D31:D31)</f>
        <v>12</v>
      </c>
      <c r="E30" s="98"/>
      <c r="F30" s="98"/>
      <c r="G30" s="98"/>
      <c r="H30" s="235"/>
      <c r="I30" s="243">
        <f>SUM(I31:I31)</f>
        <v>12</v>
      </c>
      <c r="J30" s="98"/>
      <c r="K30" s="98"/>
      <c r="L30" s="98"/>
      <c r="M30" s="235"/>
      <c r="N30" s="306"/>
    </row>
    <row r="31" spans="1:14" s="20" customFormat="1" ht="24">
      <c r="A31" s="155"/>
      <c r="B31" s="454" t="s">
        <v>276</v>
      </c>
      <c r="C31" s="235"/>
      <c r="D31" s="98">
        <v>12</v>
      </c>
      <c r="E31" s="98" t="s">
        <v>147</v>
      </c>
      <c r="F31" s="98" t="s">
        <v>145</v>
      </c>
      <c r="G31" s="259">
        <v>36899</v>
      </c>
      <c r="H31" s="235"/>
      <c r="I31" s="98">
        <v>12</v>
      </c>
      <c r="J31" s="98" t="s">
        <v>147</v>
      </c>
      <c r="K31" s="98" t="s">
        <v>145</v>
      </c>
      <c r="L31" s="259">
        <v>36899</v>
      </c>
      <c r="M31" s="235"/>
      <c r="N31" s="306" t="s">
        <v>156</v>
      </c>
    </row>
    <row r="32" spans="1:14" s="20" customFormat="1" ht="27.75" customHeight="1">
      <c r="A32" s="56" t="s">
        <v>373</v>
      </c>
      <c r="B32" s="460"/>
      <c r="C32" s="78"/>
      <c r="D32" s="243">
        <f>SUM(D33:D34)</f>
        <v>1511</v>
      </c>
      <c r="E32" s="243"/>
      <c r="F32" s="243"/>
      <c r="G32" s="243"/>
      <c r="H32" s="44"/>
      <c r="I32" s="243">
        <f>SUM(I33:I34)</f>
        <v>1011</v>
      </c>
      <c r="J32" s="243"/>
      <c r="K32" s="243"/>
      <c r="L32" s="243"/>
      <c r="M32" s="44"/>
      <c r="N32" s="346"/>
    </row>
    <row r="33" spans="1:14" s="20" customFormat="1" ht="12.75" customHeight="1">
      <c r="A33" s="56"/>
      <c r="B33" s="454" t="s">
        <v>91</v>
      </c>
      <c r="C33" s="78"/>
      <c r="D33" s="98">
        <v>500</v>
      </c>
      <c r="E33" s="98" t="s">
        <v>155</v>
      </c>
      <c r="F33" s="98" t="s">
        <v>145</v>
      </c>
      <c r="G33" s="259">
        <v>37175</v>
      </c>
      <c r="H33" s="44"/>
      <c r="I33" s="98"/>
      <c r="J33" s="98"/>
      <c r="K33" s="98"/>
      <c r="L33" s="98"/>
      <c r="M33" s="44"/>
      <c r="N33" s="378"/>
    </row>
    <row r="34" spans="1:14" s="20" customFormat="1" ht="24">
      <c r="A34" s="56"/>
      <c r="B34" s="454" t="s">
        <v>454</v>
      </c>
      <c r="C34" s="78"/>
      <c r="D34" s="98">
        <v>1011</v>
      </c>
      <c r="E34" s="98" t="s">
        <v>147</v>
      </c>
      <c r="F34" s="98" t="s">
        <v>145</v>
      </c>
      <c r="G34" s="259">
        <v>37187</v>
      </c>
      <c r="H34" s="44"/>
      <c r="I34" s="98">
        <v>1011</v>
      </c>
      <c r="J34" s="98" t="s">
        <v>147</v>
      </c>
      <c r="K34" s="98" t="s">
        <v>145</v>
      </c>
      <c r="L34" s="259">
        <v>37187</v>
      </c>
      <c r="M34" s="44"/>
      <c r="N34" s="378"/>
    </row>
    <row r="35" spans="1:14" s="20" customFormat="1" ht="12.75" customHeight="1">
      <c r="A35" s="56"/>
      <c r="B35" s="454"/>
      <c r="C35" s="78"/>
      <c r="D35" s="98"/>
      <c r="E35" s="98"/>
      <c r="F35" s="98"/>
      <c r="G35" s="259"/>
      <c r="H35" s="44"/>
      <c r="I35" s="98"/>
      <c r="J35" s="98"/>
      <c r="K35" s="98"/>
      <c r="L35" s="98"/>
      <c r="M35" s="44"/>
      <c r="N35" s="378"/>
    </row>
    <row r="36" spans="1:14" s="14" customFormat="1" ht="24.75" customHeight="1">
      <c r="A36" s="273"/>
      <c r="B36" s="461" t="s">
        <v>206</v>
      </c>
      <c r="C36" s="277"/>
      <c r="D36" s="281">
        <f>D7+D10+D13+D26+D28+D32+D18+D16+D30</f>
        <v>12905</v>
      </c>
      <c r="E36" s="281"/>
      <c r="F36" s="281"/>
      <c r="G36" s="281"/>
      <c r="H36" s="282"/>
      <c r="I36" s="281">
        <f>I7+I10+I13+I26+I28+I32+I18+I16+I30</f>
        <v>12054</v>
      </c>
      <c r="J36" s="281"/>
      <c r="K36" s="281"/>
      <c r="L36" s="281"/>
      <c r="M36" s="83"/>
      <c r="N36" s="84"/>
    </row>
    <row r="37" spans="2:14" s="48" customFormat="1" ht="12.75" customHeight="1">
      <c r="B37" s="47"/>
      <c r="C37" s="140"/>
      <c r="D37" s="140"/>
      <c r="E37" s="45"/>
      <c r="F37" s="45"/>
      <c r="G37" s="45"/>
      <c r="H37" s="45"/>
      <c r="I37" s="140"/>
      <c r="J37" s="45"/>
      <c r="K37" s="45"/>
      <c r="L37" s="45"/>
      <c r="M37" s="45"/>
      <c r="N37" s="46"/>
    </row>
    <row r="39" spans="3:14" ht="12">
      <c r="C39" s="8"/>
      <c r="D39" s="8"/>
      <c r="G39" s="34"/>
      <c r="H39" s="3"/>
      <c r="I39" s="3"/>
      <c r="J39" s="3"/>
      <c r="K39" s="3"/>
      <c r="L39" s="3"/>
      <c r="M39" s="3"/>
      <c r="N39" s="3"/>
    </row>
    <row r="40" spans="3:14" ht="12">
      <c r="C40" s="8"/>
      <c r="D40" s="8"/>
      <c r="G40" s="34"/>
      <c r="H40" s="3"/>
      <c r="I40" s="3"/>
      <c r="J40" s="3"/>
      <c r="K40" s="3"/>
      <c r="L40" s="3"/>
      <c r="M40" s="3"/>
      <c r="N40" s="3"/>
    </row>
  </sheetData>
  <mergeCells count="3">
    <mergeCell ref="A10:B10"/>
    <mergeCell ref="A13:B13"/>
    <mergeCell ref="A16:B16"/>
  </mergeCells>
  <printOptions gridLines="1" horizontalCentered="1"/>
  <pageMargins left="0.3937007874015748" right="0.3937007874015748" top="0.5905511811023623" bottom="0.5905511811023623" header="0.5118110236220472" footer="0.31496062992125984"/>
  <pageSetup firstPageNumber="12" useFirstPageNumber="1" horizontalDpi="600" verticalDpi="600" orientation="landscape" paperSize="9" scale="70" r:id="rId1"/>
  <headerFooter alignWithMargins="0">
    <oddFooter>&amp;R&amp;"Times New Roman,Grassetto"&amp;14&amp;P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2002-05-28T11:55:45Z</cp:lastPrinted>
  <dcterms:created xsi:type="dcterms:W3CDTF">2000-07-20T11:22:20Z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